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sPape\Dropbox\Energi_Selling\"/>
    </mc:Choice>
  </mc:AlternateContent>
  <xr:revisionPtr revIDLastSave="0" documentId="13_ncr:1_{C0E52AFF-29D8-4137-B3C3-EE451E5969A8}" xr6:coauthVersionLast="47" xr6:coauthVersionMax="47" xr10:uidLastSave="{00000000-0000-0000-0000-000000000000}"/>
  <bookViews>
    <workbookView xWindow="28680" yWindow="-120" windowWidth="29040" windowHeight="15840" xr2:uid="{C2FAB2E0-634B-42B4-801C-EE109EDD8463}"/>
  </bookViews>
  <sheets>
    <sheet name="Benchmark" sheetId="1" r:id="rId1"/>
    <sheet name="C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I11" i="1"/>
  <c r="I13" i="1" s="1"/>
  <c r="N19" i="1" s="1"/>
  <c r="N22" i="1" s="1"/>
  <c r="H11" i="1"/>
  <c r="H13" i="1" s="1"/>
  <c r="D19" i="1" s="1"/>
  <c r="D91" i="1" s="1"/>
  <c r="D92" i="1" s="1"/>
  <c r="N93" i="1"/>
  <c r="I93" i="1"/>
  <c r="D93" i="1"/>
  <c r="G11" i="1"/>
  <c r="G13" i="1" s="1"/>
  <c r="H19" i="1" s="1"/>
  <c r="H26" i="1" s="1"/>
  <c r="H23" i="1"/>
  <c r="H24" i="1"/>
  <c r="H27" i="1"/>
  <c r="D37" i="1"/>
  <c r="M37" i="1"/>
  <c r="D38" i="1"/>
  <c r="M38" i="1"/>
  <c r="D39" i="1"/>
  <c r="M39" i="1"/>
  <c r="D40" i="1"/>
  <c r="M40" i="1"/>
  <c r="D41" i="1"/>
  <c r="M41" i="1"/>
  <c r="D42" i="1"/>
  <c r="M42" i="1"/>
  <c r="D43" i="1"/>
  <c r="M43" i="1"/>
  <c r="D44" i="1"/>
  <c r="M44" i="1"/>
  <c r="D45" i="1"/>
  <c r="M45" i="1"/>
  <c r="D46" i="1"/>
  <c r="M46" i="1"/>
  <c r="D47" i="1"/>
  <c r="M47" i="1"/>
  <c r="D48" i="1"/>
  <c r="M48" i="1"/>
  <c r="D49" i="1"/>
  <c r="M49" i="1"/>
  <c r="D50" i="1"/>
  <c r="M50" i="1"/>
  <c r="D51" i="1"/>
  <c r="M51" i="1"/>
  <c r="D52" i="1"/>
  <c r="M52" i="1"/>
  <c r="D53" i="1"/>
  <c r="M53" i="1"/>
  <c r="D54" i="1"/>
  <c r="M54" i="1"/>
  <c r="D55" i="1"/>
  <c r="M55" i="1"/>
  <c r="D56" i="1"/>
  <c r="M56" i="1"/>
  <c r="D57" i="1"/>
  <c r="M57" i="1"/>
  <c r="D58" i="1"/>
  <c r="M58" i="1"/>
  <c r="D59" i="1"/>
  <c r="M59" i="1"/>
  <c r="D60" i="1"/>
  <c r="M60" i="1"/>
  <c r="D61" i="1"/>
  <c r="M61" i="1"/>
  <c r="D62" i="1"/>
  <c r="M62" i="1"/>
  <c r="D63" i="1"/>
  <c r="M63" i="1"/>
  <c r="D64" i="1"/>
  <c r="M64" i="1"/>
  <c r="D65" i="1"/>
  <c r="M65" i="1"/>
  <c r="D66" i="1"/>
  <c r="M66" i="1"/>
  <c r="L67" i="1"/>
  <c r="D94" i="1" l="1"/>
  <c r="AC2" i="1" s="1"/>
  <c r="I91" i="1"/>
  <c r="N91" i="1"/>
  <c r="N94" i="1" s="1"/>
  <c r="AC4" i="1" s="1"/>
  <c r="I14" i="1"/>
  <c r="G14" i="1"/>
  <c r="H14" i="1"/>
  <c r="H25" i="1"/>
  <c r="D67" i="1"/>
  <c r="D21" i="1"/>
  <c r="N39" i="1"/>
  <c r="O39" i="1" s="1"/>
  <c r="N55" i="1"/>
  <c r="O55" i="1" s="1"/>
  <c r="N57" i="1"/>
  <c r="O57" i="1" s="1"/>
  <c r="N59" i="1"/>
  <c r="O59" i="1" s="1"/>
  <c r="N61" i="1"/>
  <c r="O61" i="1" s="1"/>
  <c r="N63" i="1"/>
  <c r="O63" i="1" s="1"/>
  <c r="N66" i="1"/>
  <c r="O66" i="1" s="1"/>
  <c r="N48" i="1"/>
  <c r="O48" i="1" s="1"/>
  <c r="N53" i="1"/>
  <c r="O53" i="1" s="1"/>
  <c r="N40" i="1"/>
  <c r="O40" i="1" s="1"/>
  <c r="N41" i="1"/>
  <c r="O41" i="1" s="1"/>
  <c r="N49" i="1"/>
  <c r="O49" i="1" s="1"/>
  <c r="N42" i="1"/>
  <c r="O42" i="1" s="1"/>
  <c r="N50" i="1"/>
  <c r="O50" i="1" s="1"/>
  <c r="N43" i="1"/>
  <c r="O43" i="1" s="1"/>
  <c r="N51" i="1"/>
  <c r="O51" i="1" s="1"/>
  <c r="N45" i="1"/>
  <c r="O45" i="1" s="1"/>
  <c r="N44" i="1"/>
  <c r="O44" i="1" s="1"/>
  <c r="N52" i="1"/>
  <c r="O52" i="1" s="1"/>
  <c r="N37" i="1"/>
  <c r="N38" i="1"/>
  <c r="O38" i="1" s="1"/>
  <c r="N46" i="1"/>
  <c r="O46" i="1" s="1"/>
  <c r="N54" i="1"/>
  <c r="O54" i="1" s="1"/>
  <c r="N47" i="1"/>
  <c r="O47" i="1" s="1"/>
  <c r="N56" i="1"/>
  <c r="O56" i="1" s="1"/>
  <c r="N58" i="1"/>
  <c r="O58" i="1" s="1"/>
  <c r="N60" i="1"/>
  <c r="O60" i="1" s="1"/>
  <c r="N62" i="1"/>
  <c r="O62" i="1" s="1"/>
  <c r="N64" i="1"/>
  <c r="O64" i="1" s="1"/>
  <c r="N65" i="1"/>
  <c r="O65" i="1" s="1"/>
  <c r="M67" i="1"/>
  <c r="H38" i="1" l="1"/>
  <c r="H56" i="1"/>
  <c r="I92" i="1"/>
  <c r="I94" i="1" s="1"/>
  <c r="AC3" i="1" s="1"/>
  <c r="H40" i="1"/>
  <c r="H29" i="1"/>
  <c r="I37" i="1" s="1"/>
  <c r="H45" i="1"/>
  <c r="H51" i="1"/>
  <c r="H47" i="1"/>
  <c r="H37" i="1"/>
  <c r="H55" i="1"/>
  <c r="H50" i="1"/>
  <c r="H39" i="1"/>
  <c r="H52" i="1"/>
  <c r="H49" i="1"/>
  <c r="H42" i="1"/>
  <c r="H54" i="1"/>
  <c r="H41" i="1"/>
  <c r="H46" i="1"/>
  <c r="H43" i="1"/>
  <c r="H53" i="1"/>
  <c r="H44" i="1"/>
  <c r="H48" i="1"/>
  <c r="N67" i="1"/>
  <c r="B38" i="1"/>
  <c r="E38" i="1" s="1"/>
  <c r="B46" i="1"/>
  <c r="E46" i="1" s="1"/>
  <c r="B54" i="1"/>
  <c r="E54" i="1" s="1"/>
  <c r="B39" i="1"/>
  <c r="E39" i="1" s="1"/>
  <c r="B55" i="1"/>
  <c r="E55" i="1" s="1"/>
  <c r="B52" i="1"/>
  <c r="E52" i="1" s="1"/>
  <c r="B40" i="1"/>
  <c r="E40" i="1" s="1"/>
  <c r="B48" i="1"/>
  <c r="E48" i="1" s="1"/>
  <c r="B56" i="1"/>
  <c r="E56" i="1" s="1"/>
  <c r="B57" i="1"/>
  <c r="E57" i="1" s="1"/>
  <c r="B58" i="1"/>
  <c r="E58" i="1" s="1"/>
  <c r="B59" i="1"/>
  <c r="E59" i="1" s="1"/>
  <c r="B60" i="1"/>
  <c r="E60" i="1" s="1"/>
  <c r="B61" i="1"/>
  <c r="E61" i="1" s="1"/>
  <c r="B62" i="1"/>
  <c r="E62" i="1" s="1"/>
  <c r="B63" i="1"/>
  <c r="E63" i="1" s="1"/>
  <c r="B64" i="1"/>
  <c r="E64" i="1" s="1"/>
  <c r="B65" i="1"/>
  <c r="E65" i="1" s="1"/>
  <c r="B66" i="1"/>
  <c r="E66" i="1" s="1"/>
  <c r="B41" i="1"/>
  <c r="E41" i="1" s="1"/>
  <c r="B49" i="1"/>
  <c r="E49" i="1" s="1"/>
  <c r="B42" i="1"/>
  <c r="E42" i="1" s="1"/>
  <c r="B50" i="1"/>
  <c r="E50" i="1" s="1"/>
  <c r="B43" i="1"/>
  <c r="E43" i="1" s="1"/>
  <c r="B51" i="1"/>
  <c r="E51" i="1" s="1"/>
  <c r="B44" i="1"/>
  <c r="E44" i="1" s="1"/>
  <c r="B37" i="1"/>
  <c r="B45" i="1"/>
  <c r="E45" i="1" s="1"/>
  <c r="B53" i="1"/>
  <c r="E53" i="1" s="1"/>
  <c r="B47" i="1"/>
  <c r="E47" i="1" s="1"/>
  <c r="O37" i="1"/>
  <c r="I56" i="1" l="1"/>
  <c r="J56" i="1" s="1"/>
  <c r="I46" i="1"/>
  <c r="J46" i="1" s="1"/>
  <c r="I51" i="1"/>
  <c r="J51" i="1" s="1"/>
  <c r="I41" i="1"/>
  <c r="J41" i="1" s="1"/>
  <c r="I64" i="1"/>
  <c r="J64" i="1" s="1"/>
  <c r="I61" i="1"/>
  <c r="J61" i="1" s="1"/>
  <c r="I62" i="1"/>
  <c r="J62" i="1" s="1"/>
  <c r="I59" i="1"/>
  <c r="J59" i="1" s="1"/>
  <c r="I66" i="1"/>
  <c r="J66" i="1" s="1"/>
  <c r="I63" i="1"/>
  <c r="J63" i="1" s="1"/>
  <c r="I53" i="1"/>
  <c r="J53" i="1" s="1"/>
  <c r="I52" i="1"/>
  <c r="J52" i="1" s="1"/>
  <c r="I57" i="1"/>
  <c r="J57" i="1" s="1"/>
  <c r="I44" i="1"/>
  <c r="J44" i="1" s="1"/>
  <c r="I45" i="1"/>
  <c r="J45" i="1" s="1"/>
  <c r="I49" i="1"/>
  <c r="J49" i="1" s="1"/>
  <c r="I38" i="1"/>
  <c r="J38" i="1" s="1"/>
  <c r="I60" i="1"/>
  <c r="J60" i="1" s="1"/>
  <c r="I47" i="1"/>
  <c r="J47" i="1" s="1"/>
  <c r="I50" i="1"/>
  <c r="J50" i="1" s="1"/>
  <c r="I39" i="1"/>
  <c r="J39" i="1" s="1"/>
  <c r="I58" i="1"/>
  <c r="J58" i="1" s="1"/>
  <c r="I42" i="1"/>
  <c r="J42" i="1" s="1"/>
  <c r="I43" i="1"/>
  <c r="J43" i="1" s="1"/>
  <c r="I48" i="1"/>
  <c r="J48" i="1" s="1"/>
  <c r="I40" i="1"/>
  <c r="I65" i="1"/>
  <c r="J65" i="1" s="1"/>
  <c r="I54" i="1"/>
  <c r="J54" i="1" s="1"/>
  <c r="I55" i="1"/>
  <c r="J55" i="1" s="1"/>
  <c r="J37" i="1"/>
  <c r="H67" i="1"/>
  <c r="E37" i="1"/>
  <c r="B67" i="1"/>
  <c r="O67" i="1"/>
  <c r="O70" i="1"/>
  <c r="O31" i="1" s="1"/>
  <c r="AB4" i="1" l="1"/>
  <c r="L8" i="1"/>
  <c r="I67" i="1"/>
  <c r="J40" i="1"/>
  <c r="J70" i="1" s="1"/>
  <c r="J31" i="1" s="1"/>
  <c r="E67" i="1"/>
  <c r="E70" i="1"/>
  <c r="E31" i="1" s="1"/>
  <c r="AB3" i="1" l="1"/>
  <c r="L7" i="1"/>
  <c r="AB2" i="1"/>
  <c r="L6" i="1"/>
  <c r="J67" i="1"/>
  <c r="L12" i="1" l="1"/>
  <c r="L11" i="1"/>
</calcChain>
</file>

<file path=xl/sharedStrings.xml><?xml version="1.0" encoding="utf-8"?>
<sst xmlns="http://schemas.openxmlformats.org/spreadsheetml/2006/main" count="209" uniqueCount="149">
  <si>
    <t>kWh</t>
  </si>
  <si>
    <t>m3</t>
  </si>
  <si>
    <t>Nybygget hus</t>
  </si>
  <si>
    <t>Energirenoveret hus</t>
  </si>
  <si>
    <t>Enfamiliehus fra 1960-1970'erne</t>
  </si>
  <si>
    <t>Luft-vand varmepumpe</t>
  </si>
  <si>
    <t>Gasfyr</t>
  </si>
  <si>
    <t>Fjernvarme</t>
  </si>
  <si>
    <t>Bolig kategori</t>
  </si>
  <si>
    <t>15 år</t>
  </si>
  <si>
    <t>Varmepumpe</t>
  </si>
  <si>
    <t>19 år</t>
  </si>
  <si>
    <t>Levetider</t>
  </si>
  <si>
    <t>Rente</t>
  </si>
  <si>
    <t>Sum</t>
  </si>
  <si>
    <t>I alt</t>
  </si>
  <si>
    <t>Elforbrug</t>
  </si>
  <si>
    <t>Service</t>
  </si>
  <si>
    <t>Indkøb</t>
  </si>
  <si>
    <t>Forbrug</t>
  </si>
  <si>
    <t>Arealbidrag</t>
  </si>
  <si>
    <t>Tilslutning hhv. merværdi v/ salg</t>
  </si>
  <si>
    <t>Udskiftning fyr</t>
  </si>
  <si>
    <t>Forbrug kr</t>
  </si>
  <si>
    <t>År</t>
  </si>
  <si>
    <t>Nutidsværdi af investering</t>
  </si>
  <si>
    <t>Årlig udgift</t>
  </si>
  <si>
    <t>Drift og vedligehold, husinstallation</t>
  </si>
  <si>
    <t>Abonnementspris</t>
  </si>
  <si>
    <t>Samlet variabelt bidrag pr. MWh</t>
  </si>
  <si>
    <t>Arealbidrag i alt</t>
  </si>
  <si>
    <t>M2 bidrag over 200 m2</t>
  </si>
  <si>
    <t>Årlig udgift el</t>
  </si>
  <si>
    <t>Arealbidrag kr</t>
  </si>
  <si>
    <t>kr</t>
  </si>
  <si>
    <t>Service pr. år</t>
  </si>
  <si>
    <t>Kr. / kWh</t>
  </si>
  <si>
    <t>Kr/MWh</t>
  </si>
  <si>
    <t>Kr. / MWh (takst 2023)</t>
  </si>
  <si>
    <t>kr./m3</t>
  </si>
  <si>
    <t>Kr./m3</t>
  </si>
  <si>
    <t>Forbrug/år</t>
  </si>
  <si>
    <t>MWh</t>
  </si>
  <si>
    <t>Årligt forbrug</t>
  </si>
  <si>
    <t>Arealbidrag for Selling kr</t>
  </si>
  <si>
    <t>Husets areal</t>
  </si>
  <si>
    <t>Kilde videnscentret Bolius</t>
  </si>
  <si>
    <t>Justering til faktisk forbrug</t>
  </si>
  <si>
    <t>Valgt forbrug</t>
  </si>
  <si>
    <t>X</t>
  </si>
  <si>
    <t>Energi enhed</t>
  </si>
  <si>
    <t>Beregningsmodel energiformer Selling</t>
  </si>
  <si>
    <t>Valg (sæt ét kryds)</t>
  </si>
  <si>
    <t>Tast i grønne felter</t>
  </si>
  <si>
    <t>m2</t>
  </si>
  <si>
    <t>Justeret forbrug pr. m2/år</t>
  </si>
  <si>
    <t>Justeret forbrug pr. år</t>
  </si>
  <si>
    <t>Naturgas (bortfalder ca. 2030)</t>
  </si>
  <si>
    <t>Link til pris-eksempel</t>
  </si>
  <si>
    <t>Link til takster</t>
  </si>
  <si>
    <t>Link til beregner</t>
  </si>
  <si>
    <t>Link til elpriser</t>
  </si>
  <si>
    <t>Gas</t>
  </si>
  <si>
    <t>Fjernvarme (fra 2025)</t>
  </si>
  <si>
    <t>https://ens.dk/service/statistik-data-noegletal-og-kort/noegletal-og-internationale-indberetninger</t>
  </si>
  <si>
    <t>Bruttoenergiforbrug og endeligt energiforbrug</t>
  </si>
  <si>
    <t>Bruttoenergiforbrug</t>
  </si>
  <si>
    <t>PJ</t>
  </si>
  <si>
    <t>Bruttoenergiforbrug pr. indbygger</t>
  </si>
  <si>
    <t>GJ</t>
  </si>
  <si>
    <t>Energiintensitet (bruttoenergiforbrug/BNP)</t>
  </si>
  <si>
    <t>GJ/mio. kr.</t>
  </si>
  <si>
    <t>Endeligt energiforbrug</t>
  </si>
  <si>
    <t>Endeligt energiforbrug pr. indbygger</t>
  </si>
  <si>
    <t>Energiintensitet (endeligt energiforbrug/BNP)</t>
  </si>
  <si>
    <t>GJ/mio. kr</t>
  </si>
  <si>
    <t>Befolkningstal</t>
  </si>
  <si>
    <t>mio.</t>
  </si>
  <si>
    <t>BNP (2010-priser, kædede værdier)</t>
  </si>
  <si>
    <t>mia. kr</t>
  </si>
  <si>
    <t>Selvforsyning og olieandel</t>
  </si>
  <si>
    <t>Selvforsyningsgrad energi i alt</t>
  </si>
  <si>
    <t>%</t>
  </si>
  <si>
    <t>Selvforsyningsgrad olie</t>
  </si>
  <si>
    <t>Olieandel af bruttoenergiforbrug</t>
  </si>
  <si>
    <t>Vedvarende energi - andele</t>
  </si>
  <si>
    <t>VE-andel af samlet elforsyning</t>
  </si>
  <si>
    <t>Elsystemet</t>
  </si>
  <si>
    <t>Elkapacitet</t>
  </si>
  <si>
    <t>MV</t>
  </si>
  <si>
    <t>Vindkraftkapacitet i pct. af samlet elkapacitet</t>
  </si>
  <si>
    <t>Kraftvarmeandel, termisk elproduktion</t>
  </si>
  <si>
    <t>Kraftvarmeandel, fjernvarmeproduktion</t>
  </si>
  <si>
    <r>
      <t>CO</t>
    </r>
    <r>
      <rPr>
        <b/>
        <sz val="8.25"/>
        <color rgb="FF313131"/>
        <rFont val="Arial"/>
        <family val="2"/>
      </rPr>
      <t>2</t>
    </r>
    <r>
      <rPr>
        <b/>
        <sz val="12"/>
        <color rgb="FF313131"/>
        <rFont val="Arial"/>
        <family val="2"/>
      </rPr>
      <t>-udledning fra energiforbrug</t>
    </r>
  </si>
  <si>
    <r>
      <t>CO</t>
    </r>
    <r>
      <rPr>
        <sz val="8.25"/>
        <color rgb="FF313131"/>
        <rFont val="Arial"/>
        <family val="2"/>
      </rPr>
      <t>2</t>
    </r>
    <r>
      <rPr>
        <sz val="11"/>
        <color rgb="FF313131"/>
        <rFont val="Arial"/>
        <family val="2"/>
      </rPr>
      <t>- emission pr. indbygger, korrigeret</t>
    </r>
  </si>
  <si>
    <t>ton</t>
  </si>
  <si>
    <r>
      <t>CO</t>
    </r>
    <r>
      <rPr>
        <sz val="8.25"/>
        <color rgb="FF313131"/>
        <rFont val="Arial"/>
        <family val="2"/>
      </rPr>
      <t>2</t>
    </r>
    <r>
      <rPr>
        <sz val="11"/>
        <color rgb="FF313131"/>
        <rFont val="Arial"/>
        <family val="2"/>
      </rPr>
      <t>- emission pr. solgt kWh, korrigeret</t>
    </r>
  </si>
  <si>
    <t>gram/kWh</t>
  </si>
  <si>
    <r>
      <t>CO</t>
    </r>
    <r>
      <rPr>
        <sz val="8.25"/>
        <color rgb="FF313131"/>
        <rFont val="Arial"/>
        <family val="2"/>
      </rPr>
      <t>2</t>
    </r>
    <r>
      <rPr>
        <sz val="11"/>
        <color rgb="FF313131"/>
        <rFont val="Arial"/>
        <family val="2"/>
      </rPr>
      <t>-emission pr. forbrugt enhed fjernvarme, korrigeret</t>
    </r>
  </si>
  <si>
    <t>kg. pr. GJ</t>
  </si>
  <si>
    <r>
      <t>CO</t>
    </r>
    <r>
      <rPr>
        <sz val="8.25"/>
        <color rgb="FF313131"/>
        <rFont val="Arial"/>
        <family val="2"/>
      </rPr>
      <t>2</t>
    </r>
    <r>
      <rPr>
        <sz val="11"/>
        <color rgb="FF313131"/>
        <rFont val="Arial"/>
        <family val="2"/>
      </rPr>
      <t>- emission pr. solgt kWh, faktisk</t>
    </r>
  </si>
  <si>
    <r>
      <t>CO</t>
    </r>
    <r>
      <rPr>
        <sz val="8.25"/>
        <color rgb="FF313131"/>
        <rFont val="Arial"/>
        <family val="2"/>
      </rPr>
      <t>2</t>
    </r>
    <r>
      <rPr>
        <sz val="11"/>
        <color rgb="FF313131"/>
        <rFont val="Arial"/>
        <family val="2"/>
      </rPr>
      <t>-emission pr. forbrugt enhed fjernvarme, faktisk</t>
    </r>
  </si>
  <si>
    <t>https://ing.dk/artikel/nye-beregninger-varmepumper-sviner-lige-sa-meget-co2-som-oliefyr-109667</t>
  </si>
  <si>
    <t>Opvarmningsform</t>
  </si>
  <si>
    <t>Brændsels-forbrug lokalt i MWh</t>
  </si>
  <si>
    <t>CO2-udslip i kg pr. MWh varme</t>
  </si>
  <si>
    <t>CO2-effekt i kg ved opvarming af et 18,1 MWh standardhus</t>
  </si>
  <si>
    <t>Naturgasfyr (individuel)</t>
  </si>
  <si>
    <t>Oliefyr (individuel)</t>
  </si>
  <si>
    <t>Træpillefyr (individuel)</t>
  </si>
  <si>
    <t>Elvarme (individuel) *</t>
  </si>
  <si>
    <t>Eldrevet varmepumpe (individuel) *</t>
  </si>
  <si>
    <t>Naturgaskedel (fjernvarme) (*)</t>
  </si>
  <si>
    <t>Oliekedel (fjernvarme) (*)</t>
  </si>
  <si>
    <t>Biooliekedel (fjernvarme) (*)</t>
  </si>
  <si>
    <t>Fliskedel (fjernvarme) (*)</t>
  </si>
  <si>
    <t>Halmkedel (fjernvarme) (*)</t>
  </si>
  <si>
    <t>Affaldskedel (fjernvarme)</t>
  </si>
  <si>
    <t>Naturgaskraftvarme (modtryk motor) (*)</t>
  </si>
  <si>
    <t>Fliskraftvarme (modtryk) (*)</t>
  </si>
  <si>
    <t>Halmkraftvarme (modtryk) (*)</t>
  </si>
  <si>
    <t>Affaldskraftvarme (modtryk)</t>
  </si>
  <si>
    <t>Kulfyret kraftvarme (udtag) *</t>
  </si>
  <si>
    <t>CO2 udledning</t>
  </si>
  <si>
    <t>kg/MWh</t>
  </si>
  <si>
    <t>CO2 udslip kg/år</t>
  </si>
  <si>
    <t>kg/år</t>
  </si>
  <si>
    <t>Faktor m3 til kWh</t>
  </si>
  <si>
    <t>Kg CO2</t>
  </si>
  <si>
    <t>DKK</t>
  </si>
  <si>
    <t>CO2-udledning fra energiforbrug</t>
  </si>
  <si>
    <t>CO2- emission pr. indbygger, korrigeret</t>
  </si>
  <si>
    <t>CO2- emission pr. solgt kWh el, korrigeret</t>
  </si>
  <si>
    <t>CO2-emission pr. forbrugt enhed fjernvarme, korrigeret</t>
  </si>
  <si>
    <t>CO2- emission pr. solgt kWh el, faktisk</t>
  </si>
  <si>
    <t>CO2-emission pr. forbrugt enhed fjernvarme, faktisk</t>
  </si>
  <si>
    <t>Faktor MWh til GJ</t>
  </si>
  <si>
    <t>CO2-udslip i kg pr. GJ varme</t>
  </si>
  <si>
    <t>kg/GJ</t>
  </si>
  <si>
    <t>GJ/år</t>
  </si>
  <si>
    <t>https://energinet.dk/Om-nyheder/Nyheder/2022/01/19/CO2-udledning/</t>
  </si>
  <si>
    <t>Gram pr. kWH</t>
  </si>
  <si>
    <t>KG pr. MWH</t>
  </si>
  <si>
    <t>Gaspris u/ tillæg</t>
  </si>
  <si>
    <t>Abonnement</t>
  </si>
  <si>
    <t>Distribution og afgifter (Evida)</t>
  </si>
  <si>
    <t>Naturgas</t>
  </si>
  <si>
    <t>Din økonomi pr. år ved:</t>
  </si>
  <si>
    <t>Fjernvarme i % af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</si>
</sst>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13131"/>
      <name val="Arial"/>
      <family val="2"/>
    </font>
    <font>
      <sz val="11"/>
      <color rgb="FF313131"/>
      <name val="Arial"/>
      <family val="2"/>
    </font>
    <font>
      <b/>
      <sz val="8.25"/>
      <color rgb="FF313131"/>
      <name val="Arial"/>
      <family val="2"/>
    </font>
    <font>
      <sz val="8.25"/>
      <color rgb="FF313131"/>
      <name val="Arial"/>
      <family val="2"/>
    </font>
    <font>
      <b/>
      <sz val="13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5F2F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4">
    <xf numFmtId="0" fontId="0" fillId="0" borderId="0" xfId="0"/>
    <xf numFmtId="3" fontId="0" fillId="0" borderId="0" xfId="0" applyNumberForma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0" fillId="2" borderId="0" xfId="0" applyNumberFormat="1" applyFill="1"/>
    <xf numFmtId="14" fontId="0" fillId="0" borderId="0" xfId="0" applyNumberFormat="1"/>
    <xf numFmtId="9" fontId="0" fillId="2" borderId="0" xfId="0" applyNumberFormat="1" applyFill="1"/>
    <xf numFmtId="3" fontId="0" fillId="0" borderId="2" xfId="0" applyNumberFormat="1" applyBorder="1"/>
    <xf numFmtId="0" fontId="0" fillId="0" borderId="0" xfId="0" applyAlignment="1">
      <alignment horizontal="center" wrapText="1"/>
    </xf>
    <xf numFmtId="3" fontId="0" fillId="0" borderId="4" xfId="0" applyNumberFormat="1" applyBorder="1"/>
    <xf numFmtId="2" fontId="0" fillId="2" borderId="0" xfId="0" applyNumberFormat="1" applyFill="1"/>
    <xf numFmtId="4" fontId="0" fillId="2" borderId="0" xfId="0" applyNumberFormat="1" applyFill="1"/>
    <xf numFmtId="0" fontId="2" fillId="0" borderId="0" xfId="1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 vertical="center"/>
    </xf>
    <xf numFmtId="0" fontId="0" fillId="0" borderId="10" xfId="0" applyBorder="1"/>
    <xf numFmtId="0" fontId="0" fillId="0" borderId="4" xfId="0" applyBorder="1"/>
    <xf numFmtId="0" fontId="2" fillId="0" borderId="4" xfId="1" applyBorder="1"/>
    <xf numFmtId="0" fontId="0" fillId="0" borderId="11" xfId="0" applyBorder="1"/>
    <xf numFmtId="1" fontId="0" fillId="0" borderId="6" xfId="0" applyNumberFormat="1" applyBorder="1"/>
    <xf numFmtId="0" fontId="4" fillId="0" borderId="0" xfId="0" applyFont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1" fillId="2" borderId="0" xfId="0" applyFont="1" applyFill="1"/>
    <xf numFmtId="1" fontId="0" fillId="0" borderId="0" xfId="0" applyNumberFormat="1"/>
    <xf numFmtId="0" fontId="0" fillId="3" borderId="0" xfId="0" applyFill="1"/>
    <xf numFmtId="0" fontId="1" fillId="3" borderId="3" xfId="0" applyFont="1" applyFill="1" applyBorder="1"/>
    <xf numFmtId="0" fontId="1" fillId="3" borderId="2" xfId="0" applyFont="1" applyFill="1" applyBorder="1"/>
    <xf numFmtId="3" fontId="1" fillId="3" borderId="1" xfId="0" applyNumberFormat="1" applyFont="1" applyFill="1" applyBorder="1"/>
    <xf numFmtId="3" fontId="1" fillId="3" borderId="0" xfId="0" applyNumberFormat="1" applyFont="1" applyFill="1"/>
    <xf numFmtId="3" fontId="1" fillId="3" borderId="2" xfId="0" applyNumberFormat="1" applyFont="1" applyFill="1" applyBorder="1"/>
    <xf numFmtId="3" fontId="0" fillId="3" borderId="0" xfId="0" applyNumberFormat="1" applyFill="1"/>
    <xf numFmtId="0" fontId="6" fillId="0" borderId="0" xfId="0" applyFont="1"/>
    <xf numFmtId="0" fontId="7" fillId="0" borderId="0" xfId="0" applyFont="1" applyAlignment="1">
      <alignment vertical="center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vertical="top" wrapText="1" indent="1"/>
    </xf>
    <xf numFmtId="1" fontId="8" fillId="0" borderId="0" xfId="0" applyNumberFormat="1" applyFont="1" applyAlignment="1">
      <alignment vertical="top" wrapText="1" indent="1"/>
    </xf>
    <xf numFmtId="164" fontId="8" fillId="0" borderId="0" xfId="0" applyNumberFormat="1" applyFont="1" applyAlignment="1">
      <alignment vertical="top" wrapText="1" indent="1"/>
    </xf>
    <xf numFmtId="3" fontId="8" fillId="0" borderId="0" xfId="0" applyNumberFormat="1" applyFont="1" applyAlignment="1">
      <alignment vertical="top" wrapText="1" inden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165" fontId="0" fillId="0" borderId="0" xfId="0" applyNumberFormat="1"/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0" fillId="0" borderId="4" xfId="2" applyNumberFormat="1" applyFont="1" applyBorder="1"/>
    <xf numFmtId="9" fontId="0" fillId="0" borderId="0" xfId="3" applyFont="1"/>
    <xf numFmtId="0" fontId="0" fillId="0" borderId="9" xfId="0" applyBorder="1"/>
    <xf numFmtId="165" fontId="0" fillId="0" borderId="0" xfId="2" applyNumberFormat="1" applyFont="1" applyBorder="1"/>
    <xf numFmtId="165" fontId="0" fillId="0" borderId="4" xfId="0" applyNumberFormat="1" applyBorder="1"/>
    <xf numFmtId="4" fontId="0" fillId="0" borderId="0" xfId="0" applyNumberFormat="1"/>
    <xf numFmtId="0" fontId="1" fillId="3" borderId="12" xfId="0" applyFont="1" applyFill="1" applyBorder="1" applyAlignment="1">
      <alignment horizontal="right"/>
    </xf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right"/>
    </xf>
    <xf numFmtId="0" fontId="1" fillId="3" borderId="0" xfId="0" applyFont="1" applyFill="1"/>
    <xf numFmtId="3" fontId="1" fillId="3" borderId="16" xfId="0" applyNumberFormat="1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9" fontId="1" fillId="3" borderId="16" xfId="0" applyNumberFormat="1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4">
    <cellStyle name="Komma" xfId="2" builtinId="3"/>
    <cellStyle name="Link" xfId="1" builtinId="8"/>
    <cellStyle name="Normal" xfId="0" builtinId="0"/>
    <cellStyle name="Procent" xfId="3" builtinId="5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800" b="0" i="0" baseline="0">
                <a:effectLst/>
              </a:rPr>
              <a:t>Gennemsnit/år </a:t>
            </a:r>
            <a:endParaRPr lang="da-DK">
              <a:effectLst/>
            </a:endParaRPr>
          </a:p>
          <a:p>
            <a:pPr>
              <a:defRPr/>
            </a:pPr>
            <a:r>
              <a:rPr lang="da-DK" sz="1800" b="0" i="0" baseline="0">
                <a:effectLst/>
              </a:rPr>
              <a:t>over 30 år</a:t>
            </a:r>
            <a:endParaRPr lang="da-DK">
              <a:effectLst/>
            </a:endParaRPr>
          </a:p>
          <a:p>
            <a:pPr>
              <a:defRPr/>
            </a:pP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19118359127522852"/>
          <c:y val="0.25623836126629423"/>
          <c:w val="0.7561344163876067"/>
          <c:h val="0.52926729130925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Benchmark!$AB$1</c:f>
              <c:strCache>
                <c:ptCount val="1"/>
                <c:pt idx="0">
                  <c:v>DKK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Benchmark!$AA$2:$AA$4</c:f>
              <c:strCache>
                <c:ptCount val="3"/>
                <c:pt idx="0">
                  <c:v>Gas</c:v>
                </c:pt>
                <c:pt idx="1">
                  <c:v>Fjernvarme</c:v>
                </c:pt>
                <c:pt idx="2">
                  <c:v>Varmepumpe</c:v>
                </c:pt>
              </c:strCache>
            </c:strRef>
          </c:cat>
          <c:val>
            <c:numRef>
              <c:f>Benchmark!$AB$2:$AB$4</c:f>
              <c:numCache>
                <c:formatCode>#,##0</c:formatCode>
                <c:ptCount val="3"/>
                <c:pt idx="0">
                  <c:v>28510.511591762715</c:v>
                </c:pt>
                <c:pt idx="1">
                  <c:v>17975.301058704445</c:v>
                </c:pt>
                <c:pt idx="2">
                  <c:v>27570.054042934327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9-4CE4-B7F2-5644216EC6D5}"/>
            </c:ext>
          </c:extLst>
        </c:ser>
        <c:ser>
          <c:idx val="1"/>
          <c:order val="1"/>
          <c:tx>
            <c:strRef>
              <c:f>Benchmark!$AC$1</c:f>
              <c:strCache>
                <c:ptCount val="1"/>
                <c:pt idx="0">
                  <c:v>Kg CO2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Benchmark!$AA$2:$AA$4</c:f>
              <c:strCache>
                <c:ptCount val="3"/>
                <c:pt idx="0">
                  <c:v>Gas</c:v>
                </c:pt>
                <c:pt idx="1">
                  <c:v>Fjernvarme</c:v>
                </c:pt>
                <c:pt idx="2">
                  <c:v>Varmepumpe</c:v>
                </c:pt>
              </c:strCache>
            </c:strRef>
          </c:cat>
          <c:val>
            <c:numRef>
              <c:f>Benchmark!$AC$2:$AC$4</c:f>
              <c:numCache>
                <c:formatCode>_-* #,##0_-;\-* #,##0_-;_-* "-"??_-;_-@_-</c:formatCode>
                <c:ptCount val="3"/>
                <c:pt idx="0">
                  <c:v>6042.3344687500003</c:v>
                </c:pt>
                <c:pt idx="1">
                  <c:v>1517.8482000000004</c:v>
                </c:pt>
                <c:pt idx="2">
                  <c:v>1240.34565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9-4CE4-B7F2-5644216EC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1402036063"/>
        <c:axId val="1491567311"/>
      </c:barChart>
      <c:catAx>
        <c:axId val="1402036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491567311"/>
        <c:crosses val="autoZero"/>
        <c:auto val="1"/>
        <c:lblAlgn val="ctr"/>
        <c:lblOffset val="100"/>
        <c:noMultiLvlLbl val="0"/>
      </c:catAx>
      <c:valAx>
        <c:axId val="1491567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402036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76200</xdr:rowOff>
    </xdr:from>
    <xdr:to>
      <xdr:col>0</xdr:col>
      <xdr:colOff>628650</xdr:colOff>
      <xdr:row>5</xdr:row>
      <xdr:rowOff>28575</xdr:rowOff>
    </xdr:to>
    <xdr:sp macro="" textlink="">
      <xdr:nvSpPr>
        <xdr:cNvPr id="8" name="Pil: højre 7">
          <a:extLst>
            <a:ext uri="{FF2B5EF4-FFF2-40B4-BE49-F238E27FC236}">
              <a16:creationId xmlns:a16="http://schemas.microsoft.com/office/drawing/2014/main" id="{222D72FE-F11E-95E8-D653-68583FD66BAF}"/>
            </a:ext>
          </a:extLst>
        </xdr:cNvPr>
        <xdr:cNvSpPr/>
      </xdr:nvSpPr>
      <xdr:spPr>
        <a:xfrm>
          <a:off x="104775" y="342900"/>
          <a:ext cx="523875" cy="67627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2</xdr:col>
      <xdr:colOff>539115</xdr:colOff>
      <xdr:row>6</xdr:row>
      <xdr:rowOff>30480</xdr:rowOff>
    </xdr:from>
    <xdr:to>
      <xdr:col>2</xdr:col>
      <xdr:colOff>1062990</xdr:colOff>
      <xdr:row>9</xdr:row>
      <xdr:rowOff>158115</xdr:rowOff>
    </xdr:to>
    <xdr:sp macro="" textlink="">
      <xdr:nvSpPr>
        <xdr:cNvPr id="9" name="Pil: højre 8">
          <a:extLst>
            <a:ext uri="{FF2B5EF4-FFF2-40B4-BE49-F238E27FC236}">
              <a16:creationId xmlns:a16="http://schemas.microsoft.com/office/drawing/2014/main" id="{35870D7A-BB96-2A2B-0E67-1616BDD5E4C8}"/>
            </a:ext>
          </a:extLst>
        </xdr:cNvPr>
        <xdr:cNvSpPr/>
      </xdr:nvSpPr>
      <xdr:spPr>
        <a:xfrm>
          <a:off x="2434590" y="1202055"/>
          <a:ext cx="523875" cy="67056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4</xdr:col>
      <xdr:colOff>161925</xdr:colOff>
      <xdr:row>9</xdr:row>
      <xdr:rowOff>152400</xdr:rowOff>
    </xdr:from>
    <xdr:to>
      <xdr:col>5</xdr:col>
      <xdr:colOff>106680</xdr:colOff>
      <xdr:row>13</xdr:row>
      <xdr:rowOff>106680</xdr:rowOff>
    </xdr:to>
    <xdr:sp macro="" textlink="">
      <xdr:nvSpPr>
        <xdr:cNvPr id="10" name="Pil: højre 9">
          <a:extLst>
            <a:ext uri="{FF2B5EF4-FFF2-40B4-BE49-F238E27FC236}">
              <a16:creationId xmlns:a16="http://schemas.microsoft.com/office/drawing/2014/main" id="{A8FF1577-5519-37DD-FB13-D209968ABFE5}"/>
            </a:ext>
          </a:extLst>
        </xdr:cNvPr>
        <xdr:cNvSpPr/>
      </xdr:nvSpPr>
      <xdr:spPr>
        <a:xfrm>
          <a:off x="3857625" y="1866900"/>
          <a:ext cx="516255" cy="67818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2</xdr:col>
      <xdr:colOff>87629</xdr:colOff>
      <xdr:row>18</xdr:row>
      <xdr:rowOff>114300</xdr:rowOff>
    </xdr:from>
    <xdr:to>
      <xdr:col>2</xdr:col>
      <xdr:colOff>782954</xdr:colOff>
      <xdr:row>22</xdr:row>
      <xdr:rowOff>55245</xdr:rowOff>
    </xdr:to>
    <xdr:sp macro="" textlink="">
      <xdr:nvSpPr>
        <xdr:cNvPr id="11" name="Pil: højre 10">
          <a:extLst>
            <a:ext uri="{FF2B5EF4-FFF2-40B4-BE49-F238E27FC236}">
              <a16:creationId xmlns:a16="http://schemas.microsoft.com/office/drawing/2014/main" id="{301E5160-5241-4CC0-A0DB-C085B351C96E}"/>
            </a:ext>
          </a:extLst>
        </xdr:cNvPr>
        <xdr:cNvSpPr/>
      </xdr:nvSpPr>
      <xdr:spPr>
        <a:xfrm>
          <a:off x="1983104" y="3505200"/>
          <a:ext cx="695325" cy="67437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2</xdr:col>
      <xdr:colOff>87629</xdr:colOff>
      <xdr:row>18</xdr:row>
      <xdr:rowOff>114300</xdr:rowOff>
    </xdr:from>
    <xdr:to>
      <xdr:col>2</xdr:col>
      <xdr:colOff>777239</xdr:colOff>
      <xdr:row>22</xdr:row>
      <xdr:rowOff>55245</xdr:rowOff>
    </xdr:to>
    <xdr:sp macro="" textlink="">
      <xdr:nvSpPr>
        <xdr:cNvPr id="12" name="Pil: højre 11">
          <a:extLst>
            <a:ext uri="{FF2B5EF4-FFF2-40B4-BE49-F238E27FC236}">
              <a16:creationId xmlns:a16="http://schemas.microsoft.com/office/drawing/2014/main" id="{0160C8FF-03E0-49AE-AE27-8EEE60BA858D}"/>
            </a:ext>
          </a:extLst>
        </xdr:cNvPr>
        <xdr:cNvSpPr/>
      </xdr:nvSpPr>
      <xdr:spPr>
        <a:xfrm>
          <a:off x="1983104" y="3505200"/>
          <a:ext cx="689610" cy="674370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9</xdr:col>
      <xdr:colOff>110490</xdr:colOff>
      <xdr:row>18</xdr:row>
      <xdr:rowOff>81915</xdr:rowOff>
    </xdr:from>
    <xdr:to>
      <xdr:col>9</xdr:col>
      <xdr:colOff>862965</xdr:colOff>
      <xdr:row>22</xdr:row>
      <xdr:rowOff>110490</xdr:rowOff>
    </xdr:to>
    <xdr:sp macro="" textlink="">
      <xdr:nvSpPr>
        <xdr:cNvPr id="14" name="Pil: venstre 13">
          <a:extLst>
            <a:ext uri="{FF2B5EF4-FFF2-40B4-BE49-F238E27FC236}">
              <a16:creationId xmlns:a16="http://schemas.microsoft.com/office/drawing/2014/main" id="{E6DFB95E-99F5-5E40-B6E9-1DB692CEA5E9}"/>
            </a:ext>
          </a:extLst>
        </xdr:cNvPr>
        <xdr:cNvSpPr/>
      </xdr:nvSpPr>
      <xdr:spPr>
        <a:xfrm>
          <a:off x="8063865" y="3472815"/>
          <a:ext cx="752475" cy="762000"/>
        </a:xfrm>
        <a:prstGeom prst="left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9</xdr:col>
      <xdr:colOff>91440</xdr:colOff>
      <xdr:row>24</xdr:row>
      <xdr:rowOff>142875</xdr:rowOff>
    </xdr:from>
    <xdr:to>
      <xdr:col>9</xdr:col>
      <xdr:colOff>836295</xdr:colOff>
      <xdr:row>28</xdr:row>
      <xdr:rowOff>179070</xdr:rowOff>
    </xdr:to>
    <xdr:sp macro="" textlink="">
      <xdr:nvSpPr>
        <xdr:cNvPr id="15" name="Pil: venstre 14">
          <a:extLst>
            <a:ext uri="{FF2B5EF4-FFF2-40B4-BE49-F238E27FC236}">
              <a16:creationId xmlns:a16="http://schemas.microsoft.com/office/drawing/2014/main" id="{46149950-1D8A-0538-3AAF-D62A5CDFDC17}"/>
            </a:ext>
          </a:extLst>
        </xdr:cNvPr>
        <xdr:cNvSpPr/>
      </xdr:nvSpPr>
      <xdr:spPr>
        <a:xfrm>
          <a:off x="8044815" y="4629150"/>
          <a:ext cx="744855" cy="760095"/>
        </a:xfrm>
        <a:prstGeom prst="left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14</xdr:col>
      <xdr:colOff>262890</xdr:colOff>
      <xdr:row>18</xdr:row>
      <xdr:rowOff>15240</xdr:rowOff>
    </xdr:from>
    <xdr:to>
      <xdr:col>15</xdr:col>
      <xdr:colOff>388620</xdr:colOff>
      <xdr:row>22</xdr:row>
      <xdr:rowOff>40005</xdr:rowOff>
    </xdr:to>
    <xdr:sp macro="" textlink="">
      <xdr:nvSpPr>
        <xdr:cNvPr id="16" name="Pil: venstre 15">
          <a:extLst>
            <a:ext uri="{FF2B5EF4-FFF2-40B4-BE49-F238E27FC236}">
              <a16:creationId xmlns:a16="http://schemas.microsoft.com/office/drawing/2014/main" id="{5BCE1F2D-B80D-EB41-4B30-17C405BA8BFE}"/>
            </a:ext>
          </a:extLst>
        </xdr:cNvPr>
        <xdr:cNvSpPr/>
      </xdr:nvSpPr>
      <xdr:spPr>
        <a:xfrm>
          <a:off x="11740515" y="3406140"/>
          <a:ext cx="735330" cy="758190"/>
        </a:xfrm>
        <a:prstGeom prst="left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1</xdr:col>
      <xdr:colOff>1167765</xdr:colOff>
      <xdr:row>31</xdr:row>
      <xdr:rowOff>43815</xdr:rowOff>
    </xdr:from>
    <xdr:to>
      <xdr:col>2</xdr:col>
      <xdr:colOff>1064895</xdr:colOff>
      <xdr:row>34</xdr:row>
      <xdr:rowOff>152400</xdr:rowOff>
    </xdr:to>
    <xdr:sp macro="" textlink="">
      <xdr:nvSpPr>
        <xdr:cNvPr id="18" name="Pil: nedad 17">
          <a:extLst>
            <a:ext uri="{FF2B5EF4-FFF2-40B4-BE49-F238E27FC236}">
              <a16:creationId xmlns:a16="http://schemas.microsoft.com/office/drawing/2014/main" id="{A4944481-8BF0-D2B1-5D3E-C8A37DA53930}"/>
            </a:ext>
          </a:extLst>
        </xdr:cNvPr>
        <xdr:cNvSpPr/>
      </xdr:nvSpPr>
      <xdr:spPr>
        <a:xfrm>
          <a:off x="1872615" y="5796915"/>
          <a:ext cx="1087755" cy="651510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9</xdr:col>
      <xdr:colOff>1320165</xdr:colOff>
      <xdr:row>31</xdr:row>
      <xdr:rowOff>40005</xdr:rowOff>
    </xdr:from>
    <xdr:to>
      <xdr:col>12</xdr:col>
      <xdr:colOff>243840</xdr:colOff>
      <xdr:row>34</xdr:row>
      <xdr:rowOff>144780</xdr:rowOff>
    </xdr:to>
    <xdr:sp macro="" textlink="">
      <xdr:nvSpPr>
        <xdr:cNvPr id="19" name="Pil: nedad 18">
          <a:extLst>
            <a:ext uri="{FF2B5EF4-FFF2-40B4-BE49-F238E27FC236}">
              <a16:creationId xmlns:a16="http://schemas.microsoft.com/office/drawing/2014/main" id="{CC60B029-101F-06CD-52AD-6394727229BF}"/>
            </a:ext>
          </a:extLst>
        </xdr:cNvPr>
        <xdr:cNvSpPr/>
      </xdr:nvSpPr>
      <xdr:spPr>
        <a:xfrm>
          <a:off x="9273540" y="5793105"/>
          <a:ext cx="1085850" cy="647700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6</xdr:col>
      <xdr:colOff>720090</xdr:colOff>
      <xdr:row>31</xdr:row>
      <xdr:rowOff>59055</xdr:rowOff>
    </xdr:from>
    <xdr:to>
      <xdr:col>6</xdr:col>
      <xdr:colOff>1807845</xdr:colOff>
      <xdr:row>34</xdr:row>
      <xdr:rowOff>163830</xdr:rowOff>
    </xdr:to>
    <xdr:sp macro="" textlink="">
      <xdr:nvSpPr>
        <xdr:cNvPr id="20" name="Pil: nedad 19">
          <a:extLst>
            <a:ext uri="{FF2B5EF4-FFF2-40B4-BE49-F238E27FC236}">
              <a16:creationId xmlns:a16="http://schemas.microsoft.com/office/drawing/2014/main" id="{BA3775BC-2B2C-22D8-40D6-521064B71BE7}"/>
            </a:ext>
          </a:extLst>
        </xdr:cNvPr>
        <xdr:cNvSpPr/>
      </xdr:nvSpPr>
      <xdr:spPr>
        <a:xfrm>
          <a:off x="5158740" y="5812155"/>
          <a:ext cx="1087755" cy="647700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>
    <xdr:from>
      <xdr:col>2</xdr:col>
      <xdr:colOff>329565</xdr:colOff>
      <xdr:row>73</xdr:row>
      <xdr:rowOff>57151</xdr:rowOff>
    </xdr:from>
    <xdr:to>
      <xdr:col>3</xdr:col>
      <xdr:colOff>219075</xdr:colOff>
      <xdr:row>77</xdr:row>
      <xdr:rowOff>1</xdr:rowOff>
    </xdr:to>
    <xdr:sp macro="" textlink="">
      <xdr:nvSpPr>
        <xdr:cNvPr id="21" name="Pil: opadgående 20">
          <a:extLst>
            <a:ext uri="{FF2B5EF4-FFF2-40B4-BE49-F238E27FC236}">
              <a16:creationId xmlns:a16="http://schemas.microsoft.com/office/drawing/2014/main" id="{1F3DB17E-8036-A470-C38A-B1445CDD005C}"/>
            </a:ext>
          </a:extLst>
        </xdr:cNvPr>
        <xdr:cNvSpPr/>
      </xdr:nvSpPr>
      <xdr:spPr>
        <a:xfrm>
          <a:off x="2225040" y="13411201"/>
          <a:ext cx="1080135" cy="666750"/>
        </a:xfrm>
        <a:prstGeom prst="up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1600">
              <a:solidFill>
                <a:sysClr val="windowText" lastClr="000000"/>
              </a:solidFill>
            </a:rPr>
            <a:t>Evt.</a:t>
          </a:r>
        </a:p>
      </xdr:txBody>
    </xdr:sp>
    <xdr:clientData/>
  </xdr:twoCellAnchor>
  <xdr:twoCellAnchor editAs="oneCell">
    <xdr:from>
      <xdr:col>3</xdr:col>
      <xdr:colOff>561975</xdr:colOff>
      <xdr:row>72</xdr:row>
      <xdr:rowOff>142875</xdr:rowOff>
    </xdr:from>
    <xdr:to>
      <xdr:col>6</xdr:col>
      <xdr:colOff>948945</xdr:colOff>
      <xdr:row>76</xdr:row>
      <xdr:rowOff>167744</xdr:rowOff>
    </xdr:to>
    <xdr:pic>
      <xdr:nvPicPr>
        <xdr:cNvPr id="22" name="Billede 21">
          <a:extLst>
            <a:ext uri="{FF2B5EF4-FFF2-40B4-BE49-F238E27FC236}">
              <a16:creationId xmlns:a16="http://schemas.microsoft.com/office/drawing/2014/main" id="{B0341547-11BD-26D2-EF2E-ADE42ED0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13315950"/>
          <a:ext cx="1829055" cy="739244"/>
        </a:xfrm>
        <a:prstGeom prst="rect">
          <a:avLst/>
        </a:prstGeom>
      </xdr:spPr>
    </xdr:pic>
    <xdr:clientData/>
  </xdr:twoCellAnchor>
  <xdr:twoCellAnchor editAs="oneCell">
    <xdr:from>
      <xdr:col>3</xdr:col>
      <xdr:colOff>519514</xdr:colOff>
      <xdr:row>77</xdr:row>
      <xdr:rowOff>0</xdr:rowOff>
    </xdr:from>
    <xdr:to>
      <xdr:col>13</xdr:col>
      <xdr:colOff>173356</xdr:colOff>
      <xdr:row>83</xdr:row>
      <xdr:rowOff>38100</xdr:rowOff>
    </xdr:to>
    <xdr:pic>
      <xdr:nvPicPr>
        <xdr:cNvPr id="23" name="Billede 22">
          <a:extLst>
            <a:ext uri="{FF2B5EF4-FFF2-40B4-BE49-F238E27FC236}">
              <a16:creationId xmlns:a16="http://schemas.microsoft.com/office/drawing/2014/main" id="{D7EE22F4-6541-6AB8-0D48-16058B545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5614" y="14077950"/>
          <a:ext cx="8420652" cy="1123950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0</xdr:row>
      <xdr:rowOff>57150</xdr:rowOff>
    </xdr:from>
    <xdr:to>
      <xdr:col>16</xdr:col>
      <xdr:colOff>76201</xdr:colOff>
      <xdr:row>14</xdr:row>
      <xdr:rowOff>47625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FCECEC9-1AA3-4AE3-01E7-5E3CAE0582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10</xdr:col>
      <xdr:colOff>143469</xdr:colOff>
      <xdr:row>25</xdr:row>
      <xdr:rowOff>3911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B0D3B6C-7548-B97F-5A98-5D2A1C5E9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8720" y="14287500"/>
          <a:ext cx="6858594" cy="116596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</xdr:row>
      <xdr:rowOff>0</xdr:rowOff>
    </xdr:from>
    <xdr:to>
      <xdr:col>27</xdr:col>
      <xdr:colOff>92082</xdr:colOff>
      <xdr:row>25</xdr:row>
      <xdr:rowOff>145321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FE0D6290-B290-3E51-15F2-AC6535572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422100" y="365760"/>
          <a:ext cx="7407282" cy="624132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27</xdr:row>
      <xdr:rowOff>0</xdr:rowOff>
    </xdr:from>
    <xdr:to>
      <xdr:col>26</xdr:col>
      <xdr:colOff>579751</xdr:colOff>
      <xdr:row>50</xdr:row>
      <xdr:rowOff>175641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7F6522F7-C0BE-5474-E78A-55E439127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22100" y="6827520"/>
          <a:ext cx="7285351" cy="4397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adstenvarme.dk/%C3%B8konomi/priser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ok.dk/privat/produkter/naturgas/prisudvikling" TargetMode="External"/><Relationship Id="rId1" Type="http://schemas.openxmlformats.org/officeDocument/2006/relationships/hyperlink" Target="https://www.bolius.dk/reducer-din-varmeregning-17280?gclid=Cj0KCQjwn9CgBhDjARIsAD15h0CtqBzfCn2pvoTWlf0x8lwWKVyweHBiIuJSdipGM3tPd8E6IddR_kUaAg1yEALw_wcB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parenergi.dk/om-sparenergi" TargetMode="External"/><Relationship Id="rId4" Type="http://schemas.openxmlformats.org/officeDocument/2006/relationships/hyperlink" Target="https://www.hadstenvarme.dk/prisberegner/prisberegne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7C9A-0830-4D6C-9886-E63AE901CFA8}">
  <dimension ref="A1:AC96"/>
  <sheetViews>
    <sheetView tabSelected="1" workbookViewId="0">
      <selection activeCell="R8" sqref="R8"/>
    </sheetView>
  </sheetViews>
  <sheetFormatPr defaultRowHeight="14.4" x14ac:dyDescent="0.3"/>
  <cols>
    <col min="1" max="1" width="10.6640625" bestFit="1" customWidth="1"/>
    <col min="2" max="3" width="17.33203125" customWidth="1"/>
    <col min="4" max="4" width="11" bestFit="1" customWidth="1"/>
    <col min="5" max="5" width="8.33203125" bestFit="1" customWidth="1"/>
    <col min="6" max="6" width="2.44140625" customWidth="1"/>
    <col min="7" max="7" width="33.44140625" bestFit="1" customWidth="1"/>
    <col min="9" max="10" width="22.109375" bestFit="1" customWidth="1"/>
    <col min="11" max="11" width="2.44140625" customWidth="1"/>
    <col min="14" max="14" width="11" bestFit="1" customWidth="1"/>
    <col min="15" max="15" width="10.33203125" customWidth="1"/>
  </cols>
  <sheetData>
    <row r="1" spans="2:29" ht="21" x14ac:dyDescent="0.4">
      <c r="B1" s="15" t="s">
        <v>51</v>
      </c>
      <c r="G1" s="2" t="s">
        <v>53</v>
      </c>
      <c r="AB1" t="s">
        <v>129</v>
      </c>
      <c r="AC1" t="s">
        <v>128</v>
      </c>
    </row>
    <row r="2" spans="2:29" x14ac:dyDescent="0.3">
      <c r="AA2" t="s">
        <v>62</v>
      </c>
      <c r="AB2" s="1">
        <f>-$E$31/30</f>
        <v>28510.511591762715</v>
      </c>
      <c r="AC2" s="53">
        <f>$D$94</f>
        <v>6042.3344687500003</v>
      </c>
    </row>
    <row r="3" spans="2:29" x14ac:dyDescent="0.3">
      <c r="B3" t="s">
        <v>45</v>
      </c>
      <c r="C3" s="32">
        <v>202</v>
      </c>
      <c r="D3" t="s">
        <v>54</v>
      </c>
      <c r="AA3" t="s">
        <v>7</v>
      </c>
      <c r="AB3" s="1">
        <f>-J31/30</f>
        <v>17975.301058704445</v>
      </c>
      <c r="AC3" s="53">
        <f>$I$94</f>
        <v>1517.8482000000004</v>
      </c>
    </row>
    <row r="4" spans="2:29" ht="15" thickBot="1" x14ac:dyDescent="0.35">
      <c r="AA4" t="s">
        <v>10</v>
      </c>
      <c r="AB4" s="1">
        <f>-O31/30</f>
        <v>27570.054042934327</v>
      </c>
      <c r="AC4" s="53">
        <f>$N$94</f>
        <v>1240.34565</v>
      </c>
    </row>
    <row r="5" spans="2:29" x14ac:dyDescent="0.3">
      <c r="B5" s="16" t="s">
        <v>8</v>
      </c>
      <c r="C5" s="17"/>
      <c r="D5" s="17" t="s">
        <v>52</v>
      </c>
      <c r="E5" s="17"/>
      <c r="F5" s="17"/>
      <c r="G5" s="18" t="s">
        <v>7</v>
      </c>
      <c r="H5" s="18" t="s">
        <v>6</v>
      </c>
      <c r="I5" s="18" t="s">
        <v>5</v>
      </c>
      <c r="J5" s="63" t="s">
        <v>147</v>
      </c>
      <c r="K5" s="64"/>
      <c r="L5" s="65"/>
    </row>
    <row r="6" spans="2:29" x14ac:dyDescent="0.3">
      <c r="B6" s="19" t="s">
        <v>50</v>
      </c>
      <c r="D6" s="20"/>
      <c r="G6" s="21" t="s">
        <v>0</v>
      </c>
      <c r="H6" s="21" t="s">
        <v>1</v>
      </c>
      <c r="I6" s="21" t="s">
        <v>0</v>
      </c>
      <c r="J6" s="66" t="s">
        <v>146</v>
      </c>
      <c r="K6" s="67"/>
      <c r="L6" s="68">
        <f>-E31/30</f>
        <v>28510.511591762715</v>
      </c>
    </row>
    <row r="7" spans="2:29" x14ac:dyDescent="0.3">
      <c r="B7" s="19" t="s">
        <v>4</v>
      </c>
      <c r="D7" s="22" t="s">
        <v>49</v>
      </c>
      <c r="G7" s="1">
        <v>139.15</v>
      </c>
      <c r="H7" s="1">
        <v>13.1875</v>
      </c>
      <c r="I7" s="1">
        <v>44.174999999999997</v>
      </c>
      <c r="J7" s="66" t="s">
        <v>7</v>
      </c>
      <c r="K7" s="67"/>
      <c r="L7" s="68">
        <f>-J31/30</f>
        <v>17975.301058704445</v>
      </c>
    </row>
    <row r="8" spans="2:29" x14ac:dyDescent="0.3">
      <c r="B8" s="19" t="s">
        <v>3</v>
      </c>
      <c r="D8" s="22"/>
      <c r="G8" s="1">
        <v>91.837500000000006</v>
      </c>
      <c r="H8" s="1">
        <v>8.7125000000000004</v>
      </c>
      <c r="I8" s="1">
        <v>29.15</v>
      </c>
      <c r="J8" s="66" t="s">
        <v>10</v>
      </c>
      <c r="K8" s="67"/>
      <c r="L8" s="68">
        <f>-O31/30</f>
        <v>27570.054042934327</v>
      </c>
    </row>
    <row r="9" spans="2:29" x14ac:dyDescent="0.3">
      <c r="B9" s="19" t="s">
        <v>2</v>
      </c>
      <c r="D9" s="22"/>
      <c r="G9" s="1">
        <v>40.35</v>
      </c>
      <c r="H9" s="1">
        <v>3.8250000000000002</v>
      </c>
      <c r="I9" s="1">
        <v>12.8125</v>
      </c>
      <c r="J9" s="69"/>
      <c r="K9" s="67"/>
      <c r="L9" s="70"/>
    </row>
    <row r="10" spans="2:29" x14ac:dyDescent="0.3">
      <c r="B10" s="23"/>
      <c r="C10" s="24"/>
      <c r="D10" s="24"/>
      <c r="E10" s="24"/>
      <c r="F10" s="24"/>
      <c r="G10" s="25" t="s">
        <v>46</v>
      </c>
      <c r="H10" s="24"/>
      <c r="I10" s="24"/>
      <c r="J10" s="69" t="s">
        <v>148</v>
      </c>
      <c r="K10" s="67"/>
      <c r="L10" s="70"/>
    </row>
    <row r="11" spans="2:29" x14ac:dyDescent="0.3">
      <c r="B11" s="16" t="s">
        <v>48</v>
      </c>
      <c r="C11" s="17"/>
      <c r="D11" s="17"/>
      <c r="E11" s="17"/>
      <c r="F11" s="17"/>
      <c r="G11" s="27">
        <f>VLOOKUP("X",$D$7:$I$9,4)</f>
        <v>139.15</v>
      </c>
      <c r="H11" s="27">
        <f>VLOOKUP("X",$D$7:$I$9,5)</f>
        <v>13.1875</v>
      </c>
      <c r="I11" s="27">
        <f>VLOOKUP("X",$D$7:$I$9,6)</f>
        <v>44.174999999999997</v>
      </c>
      <c r="J11" s="66" t="s">
        <v>146</v>
      </c>
      <c r="K11" s="67"/>
      <c r="L11" s="71">
        <f>+L7/L6</f>
        <v>0.63047977939118727</v>
      </c>
      <c r="S11" s="1"/>
      <c r="T11" s="1"/>
    </row>
    <row r="12" spans="2:29" x14ac:dyDescent="0.3">
      <c r="B12" s="19" t="s">
        <v>47</v>
      </c>
      <c r="G12" s="8">
        <v>1</v>
      </c>
      <c r="H12" s="8">
        <v>1</v>
      </c>
      <c r="I12" s="8">
        <v>1</v>
      </c>
      <c r="J12" s="66" t="s">
        <v>10</v>
      </c>
      <c r="K12" s="67"/>
      <c r="L12" s="71">
        <f>+L7/L8</f>
        <v>0.65198642812639562</v>
      </c>
      <c r="S12" s="1"/>
      <c r="T12" s="1"/>
    </row>
    <row r="13" spans="2:29" x14ac:dyDescent="0.3">
      <c r="B13" s="19" t="s">
        <v>55</v>
      </c>
      <c r="G13" s="33">
        <f>G11*G12</f>
        <v>139.15</v>
      </c>
      <c r="H13" s="33">
        <f>H11*H12</f>
        <v>13.1875</v>
      </c>
      <c r="I13" s="33">
        <f>I11*I12</f>
        <v>44.174999999999997</v>
      </c>
      <c r="J13" s="69"/>
      <c r="K13" s="67"/>
      <c r="L13" s="70"/>
      <c r="S13" s="1"/>
      <c r="T13" s="1"/>
    </row>
    <row r="14" spans="2:29" ht="15" thickBot="1" x14ac:dyDescent="0.35">
      <c r="B14" s="23" t="s">
        <v>56</v>
      </c>
      <c r="C14" s="24"/>
      <c r="D14" s="24"/>
      <c r="E14" s="24"/>
      <c r="F14" s="24"/>
      <c r="G14" s="11">
        <f>G13*$C$3</f>
        <v>28108.300000000003</v>
      </c>
      <c r="H14" s="11">
        <f>H13*$C$3</f>
        <v>2663.875</v>
      </c>
      <c r="I14" s="11">
        <f>I13*$C$3</f>
        <v>8923.3499999999985</v>
      </c>
      <c r="J14" s="72"/>
      <c r="K14" s="73"/>
      <c r="L14" s="74"/>
      <c r="S14" s="1"/>
    </row>
    <row r="15" spans="2:29" x14ac:dyDescent="0.3">
      <c r="G15" s="33"/>
      <c r="H15" s="33"/>
      <c r="I15" s="33"/>
      <c r="J15" s="33"/>
      <c r="S15" s="1"/>
    </row>
    <row r="16" spans="2:29" x14ac:dyDescent="0.3">
      <c r="S16" s="1"/>
    </row>
    <row r="17" spans="1:20" ht="18" x14ac:dyDescent="0.35">
      <c r="B17" s="75" t="s">
        <v>57</v>
      </c>
      <c r="C17" s="76"/>
      <c r="D17" s="76"/>
      <c r="E17" s="77"/>
      <c r="F17" s="28"/>
      <c r="G17" s="29" t="s">
        <v>63</v>
      </c>
      <c r="H17" s="30"/>
      <c r="I17" s="30"/>
      <c r="J17" s="31"/>
      <c r="K17" s="28"/>
      <c r="L17" s="75" t="s">
        <v>10</v>
      </c>
      <c r="M17" s="76"/>
      <c r="N17" s="76"/>
      <c r="O17" s="77"/>
      <c r="S17" s="62"/>
      <c r="T17" s="1"/>
    </row>
    <row r="18" spans="1:20" x14ac:dyDescent="0.3">
      <c r="S18" s="62"/>
      <c r="T18" s="1"/>
    </row>
    <row r="19" spans="1:20" ht="15" customHeight="1" x14ac:dyDescent="0.3">
      <c r="B19" t="s">
        <v>43</v>
      </c>
      <c r="D19" s="1">
        <f>$C$3*H13</f>
        <v>2663.875</v>
      </c>
      <c r="E19" t="s">
        <v>1</v>
      </c>
      <c r="G19" t="s">
        <v>41</v>
      </c>
      <c r="H19" s="33">
        <f>G13*C3/1000</f>
        <v>28.108300000000003</v>
      </c>
      <c r="I19" t="s">
        <v>42</v>
      </c>
      <c r="L19" t="s">
        <v>41</v>
      </c>
      <c r="N19" s="1">
        <f>I13*C3</f>
        <v>8923.3499999999985</v>
      </c>
      <c r="O19" t="s">
        <v>0</v>
      </c>
    </row>
    <row r="20" spans="1:20" x14ac:dyDescent="0.3">
      <c r="B20" t="s">
        <v>40</v>
      </c>
      <c r="D20" s="62">
        <f>SUM(D26:D28)</f>
        <v>12.9</v>
      </c>
      <c r="E20" t="s">
        <v>39</v>
      </c>
      <c r="G20" t="s">
        <v>44</v>
      </c>
      <c r="H20" s="2">
        <v>25</v>
      </c>
      <c r="L20" t="s">
        <v>36</v>
      </c>
      <c r="N20" s="12">
        <v>3</v>
      </c>
    </row>
    <row r="21" spans="1:20" x14ac:dyDescent="0.3">
      <c r="B21" t="s">
        <v>23</v>
      </c>
      <c r="D21" s="1">
        <f>+D19*D20</f>
        <v>34363.987500000003</v>
      </c>
      <c r="E21" t="s">
        <v>34</v>
      </c>
      <c r="G21" t="s">
        <v>38</v>
      </c>
      <c r="H21" s="2">
        <v>465.88</v>
      </c>
      <c r="I21" t="s">
        <v>37</v>
      </c>
      <c r="L21" t="s">
        <v>35</v>
      </c>
      <c r="N21" s="6">
        <v>2000</v>
      </c>
    </row>
    <row r="22" spans="1:20" x14ac:dyDescent="0.3">
      <c r="B22" t="s">
        <v>17</v>
      </c>
      <c r="D22" s="6">
        <v>1500</v>
      </c>
      <c r="E22" t="s">
        <v>34</v>
      </c>
      <c r="G22" t="s">
        <v>33</v>
      </c>
      <c r="H22" s="6">
        <v>25</v>
      </c>
      <c r="L22" t="s">
        <v>32</v>
      </c>
      <c r="N22" s="1">
        <f>+N19*N20</f>
        <v>26770.049999999996</v>
      </c>
    </row>
    <row r="23" spans="1:20" x14ac:dyDescent="0.3">
      <c r="G23" t="s">
        <v>33</v>
      </c>
      <c r="H23" s="1">
        <f>+C3*H20</f>
        <v>5050</v>
      </c>
    </row>
    <row r="24" spans="1:20" x14ac:dyDescent="0.3">
      <c r="B24" s="14" t="s">
        <v>58</v>
      </c>
      <c r="G24" t="s">
        <v>31</v>
      </c>
      <c r="H24" s="11">
        <f>IF(C3&gt;200,(C3-200)*25,0)</f>
        <v>50</v>
      </c>
      <c r="J24" s="14" t="s">
        <v>59</v>
      </c>
      <c r="L24" s="14" t="s">
        <v>61</v>
      </c>
    </row>
    <row r="25" spans="1:20" x14ac:dyDescent="0.3">
      <c r="D25" s="1"/>
      <c r="G25" t="s">
        <v>30</v>
      </c>
      <c r="H25" s="1">
        <f>SUM(H23:H24)</f>
        <v>5100</v>
      </c>
      <c r="J25" s="14" t="s">
        <v>60</v>
      </c>
    </row>
    <row r="26" spans="1:20" x14ac:dyDescent="0.3">
      <c r="B26" t="s">
        <v>143</v>
      </c>
      <c r="D26" s="13">
        <v>7</v>
      </c>
      <c r="E26" t="s">
        <v>1</v>
      </c>
      <c r="F26" s="10"/>
      <c r="G26" t="s">
        <v>29</v>
      </c>
      <c r="H26" s="1">
        <f>+H21*H19</f>
        <v>13095.094804000002</v>
      </c>
    </row>
    <row r="27" spans="1:20" x14ac:dyDescent="0.3">
      <c r="B27" t="s">
        <v>144</v>
      </c>
      <c r="D27" s="13">
        <v>0.66</v>
      </c>
      <c r="E27" t="s">
        <v>1</v>
      </c>
      <c r="G27" t="s">
        <v>28</v>
      </c>
      <c r="H27" s="6">
        <f>2850*1.25</f>
        <v>3562.5</v>
      </c>
    </row>
    <row r="28" spans="1:20" x14ac:dyDescent="0.3">
      <c r="B28" t="s">
        <v>145</v>
      </c>
      <c r="D28" s="13">
        <v>5.24</v>
      </c>
      <c r="E28" t="s">
        <v>1</v>
      </c>
      <c r="G28" t="s">
        <v>27</v>
      </c>
      <c r="H28" s="6">
        <v>469</v>
      </c>
    </row>
    <row r="29" spans="1:20" x14ac:dyDescent="0.3">
      <c r="G29" t="s">
        <v>26</v>
      </c>
      <c r="H29" s="9">
        <f>SUM(H25:H28)</f>
        <v>22226.594804</v>
      </c>
    </row>
    <row r="30" spans="1:20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20" x14ac:dyDescent="0.3">
      <c r="A31" s="34"/>
      <c r="B31" s="35" t="s">
        <v>25</v>
      </c>
      <c r="C31" s="36"/>
      <c r="D31" s="36"/>
      <c r="E31" s="37">
        <f>E70</f>
        <v>-855315.34775288147</v>
      </c>
      <c r="F31" s="38"/>
      <c r="G31" s="35" t="s">
        <v>25</v>
      </c>
      <c r="H31" s="39"/>
      <c r="I31" s="39"/>
      <c r="J31" s="37">
        <f>J70</f>
        <v>-539259.03176113334</v>
      </c>
      <c r="K31" s="38"/>
      <c r="L31" s="35" t="s">
        <v>25</v>
      </c>
      <c r="M31" s="39"/>
      <c r="N31" s="39"/>
      <c r="O31" s="37">
        <f>O70</f>
        <v>-827101.62128802983</v>
      </c>
      <c r="P31" s="34"/>
    </row>
    <row r="32" spans="1:20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7" x14ac:dyDescent="0.3">
      <c r="O33" s="58"/>
    </row>
    <row r="36" spans="1:17" x14ac:dyDescent="0.3">
      <c r="A36" t="s">
        <v>24</v>
      </c>
      <c r="B36" t="s">
        <v>23</v>
      </c>
      <c r="C36" t="s">
        <v>22</v>
      </c>
      <c r="D36" t="s">
        <v>17</v>
      </c>
      <c r="E36" t="s">
        <v>15</v>
      </c>
      <c r="G36" t="s">
        <v>21</v>
      </c>
      <c r="H36" t="s">
        <v>20</v>
      </c>
      <c r="I36" t="s">
        <v>19</v>
      </c>
      <c r="J36" t="s">
        <v>15</v>
      </c>
      <c r="L36" t="s">
        <v>18</v>
      </c>
      <c r="M36" t="s">
        <v>17</v>
      </c>
      <c r="N36" t="s">
        <v>16</v>
      </c>
      <c r="O36" t="s">
        <v>15</v>
      </c>
    </row>
    <row r="37" spans="1:17" x14ac:dyDescent="0.3">
      <c r="A37" s="7">
        <v>45291</v>
      </c>
      <c r="B37" s="1">
        <f t="shared" ref="B37:B66" si="0">-$D$21</f>
        <v>-34363.987500000003</v>
      </c>
      <c r="C37" s="6"/>
      <c r="D37" s="1">
        <f t="shared" ref="D37:D66" si="1">-$D$22</f>
        <v>-1500</v>
      </c>
      <c r="E37" s="1">
        <f t="shared" ref="E37:E66" si="2">SUM(B37:D37)</f>
        <v>-35863.987500000003</v>
      </c>
      <c r="G37" s="6">
        <v>-55000</v>
      </c>
      <c r="H37" s="1">
        <f t="shared" ref="H37:H56" si="3">-$H$25</f>
        <v>-5100</v>
      </c>
      <c r="I37" s="1">
        <f t="shared" ref="I37:I66" si="4">-$H$29+$H$25</f>
        <v>-17126.594804</v>
      </c>
      <c r="J37" s="1">
        <f t="shared" ref="J37:J66" si="5">SUM(G37:I37)</f>
        <v>-77226.594803999993</v>
      </c>
      <c r="L37" s="6">
        <v>-100000</v>
      </c>
      <c r="M37" s="1">
        <f t="shared" ref="M37:M66" si="6">-$N$21</f>
        <v>-2000</v>
      </c>
      <c r="N37" s="1">
        <f t="shared" ref="N37:N66" si="7">-$N$22</f>
        <v>-26770.049999999996</v>
      </c>
      <c r="O37" s="1">
        <f t="shared" ref="O37:O66" si="8">SUM(L37:N37)</f>
        <v>-128770.04999999999</v>
      </c>
      <c r="P37" s="1"/>
      <c r="Q37" s="1"/>
    </row>
    <row r="38" spans="1:17" x14ac:dyDescent="0.3">
      <c r="A38" s="7">
        <v>45657</v>
      </c>
      <c r="B38" s="1">
        <f t="shared" si="0"/>
        <v>-34363.987500000003</v>
      </c>
      <c r="C38" s="6"/>
      <c r="D38" s="1">
        <f t="shared" si="1"/>
        <v>-1500</v>
      </c>
      <c r="E38" s="1">
        <f t="shared" si="2"/>
        <v>-35863.987500000003</v>
      </c>
      <c r="G38" s="6"/>
      <c r="H38" s="1">
        <f t="shared" si="3"/>
        <v>-5100</v>
      </c>
      <c r="I38" s="1">
        <f t="shared" si="4"/>
        <v>-17126.594804</v>
      </c>
      <c r="J38" s="1">
        <f t="shared" si="5"/>
        <v>-22226.594804</v>
      </c>
      <c r="L38" s="6"/>
      <c r="M38" s="1">
        <f t="shared" si="6"/>
        <v>-2000</v>
      </c>
      <c r="N38" s="1">
        <f t="shared" si="7"/>
        <v>-26770.049999999996</v>
      </c>
      <c r="O38" s="1">
        <f t="shared" si="8"/>
        <v>-28770.049999999996</v>
      </c>
      <c r="P38" s="1"/>
      <c r="Q38" s="1"/>
    </row>
    <row r="39" spans="1:17" x14ac:dyDescent="0.3">
      <c r="A39" s="7">
        <v>46022</v>
      </c>
      <c r="B39" s="1">
        <f t="shared" si="0"/>
        <v>-34363.987500000003</v>
      </c>
      <c r="C39" s="6"/>
      <c r="D39" s="1">
        <f t="shared" si="1"/>
        <v>-1500</v>
      </c>
      <c r="E39" s="1">
        <f t="shared" si="2"/>
        <v>-35863.987500000003</v>
      </c>
      <c r="G39" s="6"/>
      <c r="H39" s="1">
        <f t="shared" si="3"/>
        <v>-5100</v>
      </c>
      <c r="I39" s="1">
        <f t="shared" si="4"/>
        <v>-17126.594804</v>
      </c>
      <c r="J39" s="1">
        <f t="shared" si="5"/>
        <v>-22226.594804</v>
      </c>
      <c r="L39" s="6"/>
      <c r="M39" s="1">
        <f t="shared" si="6"/>
        <v>-2000</v>
      </c>
      <c r="N39" s="1">
        <f t="shared" si="7"/>
        <v>-26770.049999999996</v>
      </c>
      <c r="O39" s="1">
        <f t="shared" si="8"/>
        <v>-28770.049999999996</v>
      </c>
      <c r="P39" s="1"/>
      <c r="Q39" s="1"/>
    </row>
    <row r="40" spans="1:17" x14ac:dyDescent="0.3">
      <c r="A40" s="7">
        <v>46387</v>
      </c>
      <c r="B40" s="1">
        <f t="shared" si="0"/>
        <v>-34363.987500000003</v>
      </c>
      <c r="C40" s="6"/>
      <c r="D40" s="1">
        <f t="shared" si="1"/>
        <v>-1500</v>
      </c>
      <c r="E40" s="1">
        <f t="shared" si="2"/>
        <v>-35863.987500000003</v>
      </c>
      <c r="G40" s="6"/>
      <c r="H40" s="1">
        <f t="shared" si="3"/>
        <v>-5100</v>
      </c>
      <c r="I40" s="1">
        <f t="shared" si="4"/>
        <v>-17126.594804</v>
      </c>
      <c r="J40" s="1">
        <f t="shared" si="5"/>
        <v>-22226.594804</v>
      </c>
      <c r="L40" s="6"/>
      <c r="M40" s="1">
        <f t="shared" si="6"/>
        <v>-2000</v>
      </c>
      <c r="N40" s="1">
        <f t="shared" si="7"/>
        <v>-26770.049999999996</v>
      </c>
      <c r="O40" s="1">
        <f t="shared" si="8"/>
        <v>-28770.049999999996</v>
      </c>
      <c r="P40" s="1"/>
      <c r="Q40" s="1"/>
    </row>
    <row r="41" spans="1:17" x14ac:dyDescent="0.3">
      <c r="A41" s="7">
        <v>46752</v>
      </c>
      <c r="B41" s="1">
        <f t="shared" si="0"/>
        <v>-34363.987500000003</v>
      </c>
      <c r="C41" s="6"/>
      <c r="D41" s="1">
        <f t="shared" si="1"/>
        <v>-1500</v>
      </c>
      <c r="E41" s="1">
        <f t="shared" si="2"/>
        <v>-35863.987500000003</v>
      </c>
      <c r="G41" s="6"/>
      <c r="H41" s="1">
        <f t="shared" si="3"/>
        <v>-5100</v>
      </c>
      <c r="I41" s="1">
        <f t="shared" si="4"/>
        <v>-17126.594804</v>
      </c>
      <c r="J41" s="1">
        <f t="shared" si="5"/>
        <v>-22226.594804</v>
      </c>
      <c r="L41" s="6"/>
      <c r="M41" s="1">
        <f t="shared" si="6"/>
        <v>-2000</v>
      </c>
      <c r="N41" s="1">
        <f t="shared" si="7"/>
        <v>-26770.049999999996</v>
      </c>
      <c r="O41" s="1">
        <f t="shared" si="8"/>
        <v>-28770.049999999996</v>
      </c>
      <c r="P41" s="1"/>
      <c r="Q41" s="1"/>
    </row>
    <row r="42" spans="1:17" x14ac:dyDescent="0.3">
      <c r="A42" s="7">
        <v>47118</v>
      </c>
      <c r="B42" s="1">
        <f t="shared" si="0"/>
        <v>-34363.987500000003</v>
      </c>
      <c r="C42" s="6"/>
      <c r="D42" s="1">
        <f t="shared" si="1"/>
        <v>-1500</v>
      </c>
      <c r="E42" s="1">
        <f t="shared" si="2"/>
        <v>-35863.987500000003</v>
      </c>
      <c r="G42" s="6"/>
      <c r="H42" s="1">
        <f t="shared" si="3"/>
        <v>-5100</v>
      </c>
      <c r="I42" s="1">
        <f t="shared" si="4"/>
        <v>-17126.594804</v>
      </c>
      <c r="J42" s="1">
        <f t="shared" si="5"/>
        <v>-22226.594804</v>
      </c>
      <c r="L42" s="6"/>
      <c r="M42" s="1">
        <f t="shared" si="6"/>
        <v>-2000</v>
      </c>
      <c r="N42" s="1">
        <f t="shared" si="7"/>
        <v>-26770.049999999996</v>
      </c>
      <c r="O42" s="1">
        <f t="shared" si="8"/>
        <v>-28770.049999999996</v>
      </c>
      <c r="P42" s="1"/>
      <c r="Q42" s="1"/>
    </row>
    <row r="43" spans="1:17" x14ac:dyDescent="0.3">
      <c r="A43" s="7">
        <v>47483</v>
      </c>
      <c r="B43" s="1">
        <f t="shared" si="0"/>
        <v>-34363.987500000003</v>
      </c>
      <c r="C43" s="6"/>
      <c r="D43" s="1">
        <f t="shared" si="1"/>
        <v>-1500</v>
      </c>
      <c r="E43" s="1">
        <f t="shared" si="2"/>
        <v>-35863.987500000003</v>
      </c>
      <c r="G43" s="6"/>
      <c r="H43" s="1">
        <f t="shared" si="3"/>
        <v>-5100</v>
      </c>
      <c r="I43" s="1">
        <f t="shared" si="4"/>
        <v>-17126.594804</v>
      </c>
      <c r="J43" s="1">
        <f t="shared" si="5"/>
        <v>-22226.594804</v>
      </c>
      <c r="L43" s="6"/>
      <c r="M43" s="1">
        <f t="shared" si="6"/>
        <v>-2000</v>
      </c>
      <c r="N43" s="1">
        <f t="shared" si="7"/>
        <v>-26770.049999999996</v>
      </c>
      <c r="O43" s="1">
        <f t="shared" si="8"/>
        <v>-28770.049999999996</v>
      </c>
      <c r="P43" s="1"/>
      <c r="Q43" s="1"/>
    </row>
    <row r="44" spans="1:17" x14ac:dyDescent="0.3">
      <c r="A44" s="7">
        <v>47848</v>
      </c>
      <c r="B44" s="1">
        <f t="shared" si="0"/>
        <v>-34363.987500000003</v>
      </c>
      <c r="C44" s="6"/>
      <c r="D44" s="1">
        <f t="shared" si="1"/>
        <v>-1500</v>
      </c>
      <c r="E44" s="1">
        <f t="shared" si="2"/>
        <v>-35863.987500000003</v>
      </c>
      <c r="G44" s="6"/>
      <c r="H44" s="1">
        <f t="shared" si="3"/>
        <v>-5100</v>
      </c>
      <c r="I44" s="1">
        <f t="shared" si="4"/>
        <v>-17126.594804</v>
      </c>
      <c r="J44" s="1">
        <f t="shared" si="5"/>
        <v>-22226.594804</v>
      </c>
      <c r="L44" s="6"/>
      <c r="M44" s="1">
        <f t="shared" si="6"/>
        <v>-2000</v>
      </c>
      <c r="N44" s="1">
        <f t="shared" si="7"/>
        <v>-26770.049999999996</v>
      </c>
      <c r="O44" s="1">
        <f t="shared" si="8"/>
        <v>-28770.049999999996</v>
      </c>
      <c r="P44" s="1"/>
      <c r="Q44" s="1"/>
    </row>
    <row r="45" spans="1:17" x14ac:dyDescent="0.3">
      <c r="A45" s="7">
        <v>48213</v>
      </c>
      <c r="B45" s="1">
        <f t="shared" si="0"/>
        <v>-34363.987500000003</v>
      </c>
      <c r="C45" s="6"/>
      <c r="D45" s="1">
        <f t="shared" si="1"/>
        <v>-1500</v>
      </c>
      <c r="E45" s="1">
        <f t="shared" si="2"/>
        <v>-35863.987500000003</v>
      </c>
      <c r="G45" s="6"/>
      <c r="H45" s="1">
        <f t="shared" si="3"/>
        <v>-5100</v>
      </c>
      <c r="I45" s="1">
        <f t="shared" si="4"/>
        <v>-17126.594804</v>
      </c>
      <c r="J45" s="1">
        <f t="shared" si="5"/>
        <v>-22226.594804</v>
      </c>
      <c r="L45" s="6"/>
      <c r="M45" s="1">
        <f t="shared" si="6"/>
        <v>-2000</v>
      </c>
      <c r="N45" s="1">
        <f t="shared" si="7"/>
        <v>-26770.049999999996</v>
      </c>
      <c r="O45" s="1">
        <f t="shared" si="8"/>
        <v>-28770.049999999996</v>
      </c>
      <c r="P45" s="1"/>
      <c r="Q45" s="1"/>
    </row>
    <row r="46" spans="1:17" x14ac:dyDescent="0.3">
      <c r="A46" s="7">
        <v>48579</v>
      </c>
      <c r="B46" s="1">
        <f t="shared" si="0"/>
        <v>-34363.987500000003</v>
      </c>
      <c r="C46" s="6"/>
      <c r="D46" s="1">
        <f t="shared" si="1"/>
        <v>-1500</v>
      </c>
      <c r="E46" s="1">
        <f t="shared" si="2"/>
        <v>-35863.987500000003</v>
      </c>
      <c r="G46" s="6"/>
      <c r="H46" s="1">
        <f t="shared" si="3"/>
        <v>-5100</v>
      </c>
      <c r="I46" s="1">
        <f t="shared" si="4"/>
        <v>-17126.594804</v>
      </c>
      <c r="J46" s="1">
        <f t="shared" si="5"/>
        <v>-22226.594804</v>
      </c>
      <c r="L46" s="6"/>
      <c r="M46" s="1">
        <f t="shared" si="6"/>
        <v>-2000</v>
      </c>
      <c r="N46" s="1">
        <f t="shared" si="7"/>
        <v>-26770.049999999996</v>
      </c>
      <c r="O46" s="1">
        <f t="shared" si="8"/>
        <v>-28770.049999999996</v>
      </c>
      <c r="P46" s="1"/>
      <c r="Q46" s="1"/>
    </row>
    <row r="47" spans="1:17" x14ac:dyDescent="0.3">
      <c r="A47" s="7">
        <v>48944</v>
      </c>
      <c r="B47" s="1">
        <f t="shared" si="0"/>
        <v>-34363.987500000003</v>
      </c>
      <c r="C47" s="6"/>
      <c r="D47" s="1">
        <f t="shared" si="1"/>
        <v>-1500</v>
      </c>
      <c r="E47" s="1">
        <f t="shared" si="2"/>
        <v>-35863.987500000003</v>
      </c>
      <c r="G47" s="6"/>
      <c r="H47" s="1">
        <f t="shared" si="3"/>
        <v>-5100</v>
      </c>
      <c r="I47" s="1">
        <f t="shared" si="4"/>
        <v>-17126.594804</v>
      </c>
      <c r="J47" s="1">
        <f t="shared" si="5"/>
        <v>-22226.594804</v>
      </c>
      <c r="L47" s="6"/>
      <c r="M47" s="1">
        <f t="shared" si="6"/>
        <v>-2000</v>
      </c>
      <c r="N47" s="1">
        <f t="shared" si="7"/>
        <v>-26770.049999999996</v>
      </c>
      <c r="O47" s="1">
        <f t="shared" si="8"/>
        <v>-28770.049999999996</v>
      </c>
      <c r="P47" s="1"/>
      <c r="Q47" s="1"/>
    </row>
    <row r="48" spans="1:17" x14ac:dyDescent="0.3">
      <c r="A48" s="7">
        <v>49309</v>
      </c>
      <c r="B48" s="1">
        <f t="shared" si="0"/>
        <v>-34363.987500000003</v>
      </c>
      <c r="C48" s="6">
        <v>-45000</v>
      </c>
      <c r="D48" s="1">
        <f t="shared" si="1"/>
        <v>-1500</v>
      </c>
      <c r="E48" s="1">
        <f t="shared" si="2"/>
        <v>-80863.987500000003</v>
      </c>
      <c r="G48" s="6">
        <v>-10000</v>
      </c>
      <c r="H48" s="1">
        <f t="shared" si="3"/>
        <v>-5100</v>
      </c>
      <c r="I48" s="1">
        <f t="shared" si="4"/>
        <v>-17126.594804</v>
      </c>
      <c r="J48" s="1">
        <f t="shared" si="5"/>
        <v>-32226.594804</v>
      </c>
      <c r="L48" s="6"/>
      <c r="M48" s="1">
        <f t="shared" si="6"/>
        <v>-2000</v>
      </c>
      <c r="N48" s="1">
        <f t="shared" si="7"/>
        <v>-26770.049999999996</v>
      </c>
      <c r="O48" s="1">
        <f t="shared" si="8"/>
        <v>-28770.049999999996</v>
      </c>
      <c r="P48" s="1"/>
      <c r="Q48" s="1"/>
    </row>
    <row r="49" spans="1:17" x14ac:dyDescent="0.3">
      <c r="A49" s="7">
        <v>49674</v>
      </c>
      <c r="B49" s="1">
        <f t="shared" si="0"/>
        <v>-34363.987500000003</v>
      </c>
      <c r="C49" s="6"/>
      <c r="D49" s="1">
        <f t="shared" si="1"/>
        <v>-1500</v>
      </c>
      <c r="E49" s="1">
        <f t="shared" si="2"/>
        <v>-35863.987500000003</v>
      </c>
      <c r="G49" s="6"/>
      <c r="H49" s="1">
        <f t="shared" si="3"/>
        <v>-5100</v>
      </c>
      <c r="I49" s="1">
        <f t="shared" si="4"/>
        <v>-17126.594804</v>
      </c>
      <c r="J49" s="1">
        <f t="shared" si="5"/>
        <v>-22226.594804</v>
      </c>
      <c r="L49" s="6"/>
      <c r="M49" s="1">
        <f t="shared" si="6"/>
        <v>-2000</v>
      </c>
      <c r="N49" s="1">
        <f t="shared" si="7"/>
        <v>-26770.049999999996</v>
      </c>
      <c r="O49" s="1">
        <f t="shared" si="8"/>
        <v>-28770.049999999996</v>
      </c>
      <c r="P49" s="1"/>
      <c r="Q49" s="1"/>
    </row>
    <row r="50" spans="1:17" x14ac:dyDescent="0.3">
      <c r="A50" s="7">
        <v>50040</v>
      </c>
      <c r="B50" s="1">
        <f t="shared" si="0"/>
        <v>-34363.987500000003</v>
      </c>
      <c r="C50" s="6"/>
      <c r="D50" s="1">
        <f t="shared" si="1"/>
        <v>-1500</v>
      </c>
      <c r="E50" s="1">
        <f t="shared" si="2"/>
        <v>-35863.987500000003</v>
      </c>
      <c r="G50" s="6"/>
      <c r="H50" s="1">
        <f t="shared" si="3"/>
        <v>-5100</v>
      </c>
      <c r="I50" s="1">
        <f t="shared" si="4"/>
        <v>-17126.594804</v>
      </c>
      <c r="J50" s="1">
        <f t="shared" si="5"/>
        <v>-22226.594804</v>
      </c>
      <c r="L50" s="6"/>
      <c r="M50" s="1">
        <f t="shared" si="6"/>
        <v>-2000</v>
      </c>
      <c r="N50" s="1">
        <f t="shared" si="7"/>
        <v>-26770.049999999996</v>
      </c>
      <c r="O50" s="1">
        <f t="shared" si="8"/>
        <v>-28770.049999999996</v>
      </c>
      <c r="P50" s="1"/>
      <c r="Q50" s="1"/>
    </row>
    <row r="51" spans="1:17" x14ac:dyDescent="0.3">
      <c r="A51" s="7">
        <v>50405</v>
      </c>
      <c r="B51" s="1">
        <f t="shared" si="0"/>
        <v>-34363.987500000003</v>
      </c>
      <c r="C51" s="6"/>
      <c r="D51" s="1">
        <f t="shared" si="1"/>
        <v>-1500</v>
      </c>
      <c r="E51" s="1">
        <f t="shared" si="2"/>
        <v>-35863.987500000003</v>
      </c>
      <c r="G51" s="6"/>
      <c r="H51" s="1">
        <f t="shared" si="3"/>
        <v>-5100</v>
      </c>
      <c r="I51" s="1">
        <f t="shared" si="4"/>
        <v>-17126.594804</v>
      </c>
      <c r="J51" s="1">
        <f t="shared" si="5"/>
        <v>-22226.594804</v>
      </c>
      <c r="L51" s="6"/>
      <c r="M51" s="1">
        <f t="shared" si="6"/>
        <v>-2000</v>
      </c>
      <c r="N51" s="1">
        <f t="shared" si="7"/>
        <v>-26770.049999999996</v>
      </c>
      <c r="O51" s="1">
        <f t="shared" si="8"/>
        <v>-28770.049999999996</v>
      </c>
      <c r="P51" s="1"/>
      <c r="Q51" s="1"/>
    </row>
    <row r="52" spans="1:17" x14ac:dyDescent="0.3">
      <c r="A52" s="7">
        <v>50770</v>
      </c>
      <c r="B52" s="1">
        <f t="shared" si="0"/>
        <v>-34363.987500000003</v>
      </c>
      <c r="C52" s="6"/>
      <c r="D52" s="1">
        <f t="shared" si="1"/>
        <v>-1500</v>
      </c>
      <c r="E52" s="1">
        <f t="shared" si="2"/>
        <v>-35863.987500000003</v>
      </c>
      <c r="G52" s="6"/>
      <c r="H52" s="1">
        <f t="shared" si="3"/>
        <v>-5100</v>
      </c>
      <c r="I52" s="1">
        <f t="shared" si="4"/>
        <v>-17126.594804</v>
      </c>
      <c r="J52" s="1">
        <f t="shared" si="5"/>
        <v>-22226.594804</v>
      </c>
      <c r="L52" s="6"/>
      <c r="M52" s="1">
        <f t="shared" si="6"/>
        <v>-2000</v>
      </c>
      <c r="N52" s="1">
        <f t="shared" si="7"/>
        <v>-26770.049999999996</v>
      </c>
      <c r="O52" s="1">
        <f t="shared" si="8"/>
        <v>-28770.049999999996</v>
      </c>
      <c r="P52" s="1"/>
      <c r="Q52" s="1"/>
    </row>
    <row r="53" spans="1:17" x14ac:dyDescent="0.3">
      <c r="A53" s="7">
        <v>51135</v>
      </c>
      <c r="B53" s="1">
        <f t="shared" si="0"/>
        <v>-34363.987500000003</v>
      </c>
      <c r="C53" s="6"/>
      <c r="D53" s="1">
        <f t="shared" si="1"/>
        <v>-1500</v>
      </c>
      <c r="E53" s="1">
        <f t="shared" si="2"/>
        <v>-35863.987500000003</v>
      </c>
      <c r="G53" s="6"/>
      <c r="H53" s="1">
        <f t="shared" si="3"/>
        <v>-5100</v>
      </c>
      <c r="I53" s="1">
        <f t="shared" si="4"/>
        <v>-17126.594804</v>
      </c>
      <c r="J53" s="1">
        <f t="shared" si="5"/>
        <v>-22226.594804</v>
      </c>
      <c r="L53" s="6"/>
      <c r="M53" s="1">
        <f t="shared" si="6"/>
        <v>-2000</v>
      </c>
      <c r="N53" s="1">
        <f t="shared" si="7"/>
        <v>-26770.049999999996</v>
      </c>
      <c r="O53" s="1">
        <f t="shared" si="8"/>
        <v>-28770.049999999996</v>
      </c>
      <c r="P53" s="1"/>
      <c r="Q53" s="1"/>
    </row>
    <row r="54" spans="1:17" x14ac:dyDescent="0.3">
      <c r="A54" s="7">
        <v>51501</v>
      </c>
      <c r="B54" s="1">
        <f t="shared" si="0"/>
        <v>-34363.987500000003</v>
      </c>
      <c r="C54" s="6"/>
      <c r="D54" s="1">
        <f t="shared" si="1"/>
        <v>-1500</v>
      </c>
      <c r="E54" s="1">
        <f t="shared" si="2"/>
        <v>-35863.987500000003</v>
      </c>
      <c r="G54" s="6"/>
      <c r="H54" s="1">
        <f t="shared" si="3"/>
        <v>-5100</v>
      </c>
      <c r="I54" s="1">
        <f t="shared" si="4"/>
        <v>-17126.594804</v>
      </c>
      <c r="J54" s="1">
        <f t="shared" si="5"/>
        <v>-22226.594804</v>
      </c>
      <c r="L54" s="6"/>
      <c r="M54" s="1">
        <f t="shared" si="6"/>
        <v>-2000</v>
      </c>
      <c r="N54" s="1">
        <f t="shared" si="7"/>
        <v>-26770.049999999996</v>
      </c>
      <c r="O54" s="1">
        <f t="shared" si="8"/>
        <v>-28770.049999999996</v>
      </c>
      <c r="P54" s="1"/>
      <c r="Q54" s="1"/>
    </row>
    <row r="55" spans="1:17" x14ac:dyDescent="0.3">
      <c r="A55" s="7">
        <v>51866</v>
      </c>
      <c r="B55" s="1">
        <f t="shared" si="0"/>
        <v>-34363.987500000003</v>
      </c>
      <c r="C55" s="6"/>
      <c r="D55" s="1">
        <f t="shared" si="1"/>
        <v>-1500</v>
      </c>
      <c r="E55" s="1">
        <f t="shared" si="2"/>
        <v>-35863.987500000003</v>
      </c>
      <c r="G55" s="6"/>
      <c r="H55" s="1">
        <f t="shared" si="3"/>
        <v>-5100</v>
      </c>
      <c r="I55" s="1">
        <f t="shared" si="4"/>
        <v>-17126.594804</v>
      </c>
      <c r="J55" s="1">
        <f t="shared" si="5"/>
        <v>-22226.594804</v>
      </c>
      <c r="L55" s="6">
        <v>-100000</v>
      </c>
      <c r="M55" s="1">
        <f t="shared" si="6"/>
        <v>-2000</v>
      </c>
      <c r="N55" s="1">
        <f t="shared" si="7"/>
        <v>-26770.049999999996</v>
      </c>
      <c r="O55" s="1">
        <f t="shared" si="8"/>
        <v>-128770.04999999999</v>
      </c>
      <c r="P55" s="1"/>
      <c r="Q55" s="1"/>
    </row>
    <row r="56" spans="1:17" x14ac:dyDescent="0.3">
      <c r="A56" s="7">
        <v>52231</v>
      </c>
      <c r="B56" s="1">
        <f t="shared" si="0"/>
        <v>-34363.987500000003</v>
      </c>
      <c r="C56" s="6"/>
      <c r="D56" s="1">
        <f t="shared" si="1"/>
        <v>-1500</v>
      </c>
      <c r="E56" s="1">
        <f t="shared" si="2"/>
        <v>-35863.987500000003</v>
      </c>
      <c r="G56" s="6"/>
      <c r="H56" s="1">
        <f t="shared" si="3"/>
        <v>-5100</v>
      </c>
      <c r="I56" s="1">
        <f t="shared" si="4"/>
        <v>-17126.594804</v>
      </c>
      <c r="J56" s="1">
        <f t="shared" si="5"/>
        <v>-22226.594804</v>
      </c>
      <c r="L56" s="6"/>
      <c r="M56" s="1">
        <f t="shared" si="6"/>
        <v>-2000</v>
      </c>
      <c r="N56" s="1">
        <f t="shared" si="7"/>
        <v>-26770.049999999996</v>
      </c>
      <c r="O56" s="1">
        <f t="shared" si="8"/>
        <v>-28770.049999999996</v>
      </c>
      <c r="P56" s="1"/>
      <c r="Q56" s="1"/>
    </row>
    <row r="57" spans="1:17" x14ac:dyDescent="0.3">
      <c r="A57" s="7">
        <v>52596</v>
      </c>
      <c r="B57" s="1">
        <f t="shared" si="0"/>
        <v>-34363.987500000003</v>
      </c>
      <c r="C57" s="6"/>
      <c r="D57" s="1">
        <f t="shared" si="1"/>
        <v>-1500</v>
      </c>
      <c r="E57" s="1">
        <f t="shared" si="2"/>
        <v>-35863.987500000003</v>
      </c>
      <c r="G57" s="6"/>
      <c r="H57">
        <v>0</v>
      </c>
      <c r="I57" s="1">
        <f t="shared" si="4"/>
        <v>-17126.594804</v>
      </c>
      <c r="J57" s="1">
        <f t="shared" si="5"/>
        <v>-17126.594804</v>
      </c>
      <c r="L57" s="6"/>
      <c r="M57" s="1">
        <f t="shared" si="6"/>
        <v>-2000</v>
      </c>
      <c r="N57" s="1">
        <f t="shared" si="7"/>
        <v>-26770.049999999996</v>
      </c>
      <c r="O57" s="1">
        <f t="shared" si="8"/>
        <v>-28770.049999999996</v>
      </c>
      <c r="P57" s="1"/>
      <c r="Q57" s="1"/>
    </row>
    <row r="58" spans="1:17" x14ac:dyDescent="0.3">
      <c r="A58" s="7">
        <v>52962</v>
      </c>
      <c r="B58" s="1">
        <f t="shared" si="0"/>
        <v>-34363.987500000003</v>
      </c>
      <c r="C58" s="6"/>
      <c r="D58" s="1">
        <f t="shared" si="1"/>
        <v>-1500</v>
      </c>
      <c r="E58" s="1">
        <f t="shared" si="2"/>
        <v>-35863.987500000003</v>
      </c>
      <c r="G58" s="6"/>
      <c r="H58">
        <v>0</v>
      </c>
      <c r="I58" s="1">
        <f t="shared" si="4"/>
        <v>-17126.594804</v>
      </c>
      <c r="J58" s="1">
        <f t="shared" si="5"/>
        <v>-17126.594804</v>
      </c>
      <c r="L58" s="6"/>
      <c r="M58" s="1">
        <f t="shared" si="6"/>
        <v>-2000</v>
      </c>
      <c r="N58" s="1">
        <f t="shared" si="7"/>
        <v>-26770.049999999996</v>
      </c>
      <c r="O58" s="1">
        <f t="shared" si="8"/>
        <v>-28770.049999999996</v>
      </c>
      <c r="P58" s="1"/>
      <c r="Q58" s="1"/>
    </row>
    <row r="59" spans="1:17" x14ac:dyDescent="0.3">
      <c r="A59" s="7">
        <v>53327</v>
      </c>
      <c r="B59" s="1">
        <f t="shared" si="0"/>
        <v>-34363.987500000003</v>
      </c>
      <c r="C59" s="6"/>
      <c r="D59" s="1">
        <f t="shared" si="1"/>
        <v>-1500</v>
      </c>
      <c r="E59" s="1">
        <f t="shared" si="2"/>
        <v>-35863.987500000003</v>
      </c>
      <c r="G59" s="6"/>
      <c r="H59">
        <v>0</v>
      </c>
      <c r="I59" s="1">
        <f t="shared" si="4"/>
        <v>-17126.594804</v>
      </c>
      <c r="J59" s="1">
        <f t="shared" si="5"/>
        <v>-17126.594804</v>
      </c>
      <c r="L59" s="6"/>
      <c r="M59" s="1">
        <f t="shared" si="6"/>
        <v>-2000</v>
      </c>
      <c r="N59" s="1">
        <f t="shared" si="7"/>
        <v>-26770.049999999996</v>
      </c>
      <c r="O59" s="1">
        <f t="shared" si="8"/>
        <v>-28770.049999999996</v>
      </c>
      <c r="P59" s="1"/>
      <c r="Q59" s="1"/>
    </row>
    <row r="60" spans="1:17" x14ac:dyDescent="0.3">
      <c r="A60" s="7">
        <v>53692</v>
      </c>
      <c r="B60" s="1">
        <f t="shared" si="0"/>
        <v>-34363.987500000003</v>
      </c>
      <c r="C60" s="6"/>
      <c r="D60" s="1">
        <f t="shared" si="1"/>
        <v>-1500</v>
      </c>
      <c r="E60" s="1">
        <f t="shared" si="2"/>
        <v>-35863.987500000003</v>
      </c>
      <c r="G60" s="6"/>
      <c r="H60">
        <v>0</v>
      </c>
      <c r="I60" s="1">
        <f t="shared" si="4"/>
        <v>-17126.594804</v>
      </c>
      <c r="J60" s="1">
        <f t="shared" si="5"/>
        <v>-17126.594804</v>
      </c>
      <c r="L60" s="6"/>
      <c r="M60" s="1">
        <f t="shared" si="6"/>
        <v>-2000</v>
      </c>
      <c r="N60" s="1">
        <f t="shared" si="7"/>
        <v>-26770.049999999996</v>
      </c>
      <c r="O60" s="1">
        <f t="shared" si="8"/>
        <v>-28770.049999999996</v>
      </c>
      <c r="P60" s="1"/>
      <c r="Q60" s="1"/>
    </row>
    <row r="61" spans="1:17" x14ac:dyDescent="0.3">
      <c r="A61" s="7">
        <v>54057</v>
      </c>
      <c r="B61" s="1">
        <f t="shared" si="0"/>
        <v>-34363.987500000003</v>
      </c>
      <c r="C61" s="6"/>
      <c r="D61" s="1">
        <f t="shared" si="1"/>
        <v>-1500</v>
      </c>
      <c r="E61" s="1">
        <f t="shared" si="2"/>
        <v>-35863.987500000003</v>
      </c>
      <c r="G61" s="6"/>
      <c r="H61">
        <v>0</v>
      </c>
      <c r="I61" s="1">
        <f t="shared" si="4"/>
        <v>-17126.594804</v>
      </c>
      <c r="J61" s="1">
        <f t="shared" si="5"/>
        <v>-17126.594804</v>
      </c>
      <c r="L61" s="6"/>
      <c r="M61" s="1">
        <f t="shared" si="6"/>
        <v>-2000</v>
      </c>
      <c r="N61" s="1">
        <f t="shared" si="7"/>
        <v>-26770.049999999996</v>
      </c>
      <c r="O61" s="1">
        <f t="shared" si="8"/>
        <v>-28770.049999999996</v>
      </c>
      <c r="P61" s="1"/>
      <c r="Q61" s="1"/>
    </row>
    <row r="62" spans="1:17" x14ac:dyDescent="0.3">
      <c r="A62" s="7">
        <v>54423</v>
      </c>
      <c r="B62" s="1">
        <f t="shared" si="0"/>
        <v>-34363.987500000003</v>
      </c>
      <c r="C62" s="6"/>
      <c r="D62" s="1">
        <f t="shared" si="1"/>
        <v>-1500</v>
      </c>
      <c r="E62" s="1">
        <f t="shared" si="2"/>
        <v>-35863.987500000003</v>
      </c>
      <c r="G62" s="6"/>
      <c r="H62">
        <v>0</v>
      </c>
      <c r="I62" s="1">
        <f t="shared" si="4"/>
        <v>-17126.594804</v>
      </c>
      <c r="J62" s="1">
        <f t="shared" si="5"/>
        <v>-17126.594804</v>
      </c>
      <c r="L62" s="6"/>
      <c r="M62" s="1">
        <f t="shared" si="6"/>
        <v>-2000</v>
      </c>
      <c r="N62" s="1">
        <f t="shared" si="7"/>
        <v>-26770.049999999996</v>
      </c>
      <c r="O62" s="1">
        <f t="shared" si="8"/>
        <v>-28770.049999999996</v>
      </c>
      <c r="P62" s="1"/>
      <c r="Q62" s="1"/>
    </row>
    <row r="63" spans="1:17" x14ac:dyDescent="0.3">
      <c r="A63" s="7">
        <v>54788</v>
      </c>
      <c r="B63" s="1">
        <f t="shared" si="0"/>
        <v>-34363.987500000003</v>
      </c>
      <c r="C63" s="6"/>
      <c r="D63" s="1">
        <f t="shared" si="1"/>
        <v>-1500</v>
      </c>
      <c r="E63" s="1">
        <f t="shared" si="2"/>
        <v>-35863.987500000003</v>
      </c>
      <c r="G63" s="6"/>
      <c r="H63">
        <v>0</v>
      </c>
      <c r="I63" s="1">
        <f t="shared" si="4"/>
        <v>-17126.594804</v>
      </c>
      <c r="J63" s="1">
        <f t="shared" si="5"/>
        <v>-17126.594804</v>
      </c>
      <c r="L63" s="6"/>
      <c r="M63" s="1">
        <f t="shared" si="6"/>
        <v>-2000</v>
      </c>
      <c r="N63" s="1">
        <f t="shared" si="7"/>
        <v>-26770.049999999996</v>
      </c>
      <c r="O63" s="1">
        <f t="shared" si="8"/>
        <v>-28770.049999999996</v>
      </c>
      <c r="P63" s="1"/>
      <c r="Q63" s="1"/>
    </row>
    <row r="64" spans="1:17" x14ac:dyDescent="0.3">
      <c r="A64" s="7">
        <v>55153</v>
      </c>
      <c r="B64" s="1">
        <f t="shared" si="0"/>
        <v>-34363.987500000003</v>
      </c>
      <c r="C64" s="6"/>
      <c r="D64" s="1">
        <f t="shared" si="1"/>
        <v>-1500</v>
      </c>
      <c r="E64" s="1">
        <f t="shared" si="2"/>
        <v>-35863.987500000003</v>
      </c>
      <c r="G64" s="6"/>
      <c r="H64">
        <v>0</v>
      </c>
      <c r="I64" s="1">
        <f t="shared" si="4"/>
        <v>-17126.594804</v>
      </c>
      <c r="J64" s="1">
        <f t="shared" si="5"/>
        <v>-17126.594804</v>
      </c>
      <c r="L64" s="6"/>
      <c r="M64" s="1">
        <f t="shared" si="6"/>
        <v>-2000</v>
      </c>
      <c r="N64" s="1">
        <f t="shared" si="7"/>
        <v>-26770.049999999996</v>
      </c>
      <c r="O64" s="1">
        <f t="shared" si="8"/>
        <v>-28770.049999999996</v>
      </c>
      <c r="P64" s="1"/>
      <c r="Q64" s="1"/>
    </row>
    <row r="65" spans="1:17" x14ac:dyDescent="0.3">
      <c r="A65" s="7">
        <v>55518</v>
      </c>
      <c r="B65" s="1">
        <f t="shared" si="0"/>
        <v>-34363.987500000003</v>
      </c>
      <c r="C65" s="6"/>
      <c r="D65" s="1">
        <f t="shared" si="1"/>
        <v>-1500</v>
      </c>
      <c r="E65" s="1">
        <f t="shared" si="2"/>
        <v>-35863.987500000003</v>
      </c>
      <c r="G65" s="6"/>
      <c r="H65">
        <v>0</v>
      </c>
      <c r="I65" s="1">
        <f t="shared" si="4"/>
        <v>-17126.594804</v>
      </c>
      <c r="J65" s="1">
        <f t="shared" si="5"/>
        <v>-17126.594804</v>
      </c>
      <c r="L65" s="6"/>
      <c r="M65" s="1">
        <f t="shared" si="6"/>
        <v>-2000</v>
      </c>
      <c r="N65" s="1">
        <f t="shared" si="7"/>
        <v>-26770.049999999996</v>
      </c>
      <c r="O65" s="1">
        <f t="shared" si="8"/>
        <v>-28770.049999999996</v>
      </c>
      <c r="P65" s="1"/>
      <c r="Q65" s="1"/>
    </row>
    <row r="66" spans="1:17" x14ac:dyDescent="0.3">
      <c r="A66" s="7">
        <v>55884</v>
      </c>
      <c r="B66" s="1">
        <f t="shared" si="0"/>
        <v>-34363.987500000003</v>
      </c>
      <c r="C66" s="6"/>
      <c r="D66" s="1">
        <f t="shared" si="1"/>
        <v>-1500</v>
      </c>
      <c r="E66" s="1">
        <f t="shared" si="2"/>
        <v>-35863.987500000003</v>
      </c>
      <c r="G66" s="6"/>
      <c r="H66">
        <v>0</v>
      </c>
      <c r="I66" s="1">
        <f t="shared" si="4"/>
        <v>-17126.594804</v>
      </c>
      <c r="J66" s="1">
        <f t="shared" si="5"/>
        <v>-17126.594804</v>
      </c>
      <c r="L66" s="6"/>
      <c r="M66" s="1">
        <f t="shared" si="6"/>
        <v>-2000</v>
      </c>
      <c r="N66" s="1">
        <f t="shared" si="7"/>
        <v>-26770.049999999996</v>
      </c>
      <c r="O66" s="1">
        <f t="shared" si="8"/>
        <v>-28770.049999999996</v>
      </c>
      <c r="P66" s="1"/>
      <c r="Q66" s="1"/>
    </row>
    <row r="67" spans="1:17" x14ac:dyDescent="0.3">
      <c r="A67" t="s">
        <v>14</v>
      </c>
      <c r="B67" s="1">
        <f>SUM(B37:B66)</f>
        <v>-1030919.6250000006</v>
      </c>
      <c r="C67" s="1"/>
      <c r="D67" s="1">
        <f>SUM(D37:D66)</f>
        <v>-45000</v>
      </c>
      <c r="E67" s="1">
        <f>SUM(E37:E66)</f>
        <v>-1120919.6250000007</v>
      </c>
      <c r="H67" s="1">
        <f>SUM(H37:H66)</f>
        <v>-102000</v>
      </c>
      <c r="I67" s="1">
        <f>SUM(I37:I66)</f>
        <v>-513797.84411999985</v>
      </c>
      <c r="J67" s="1">
        <f>SUM(J37:J66)</f>
        <v>-680797.84411999979</v>
      </c>
      <c r="L67" s="1">
        <f>SUM(L37:L66)</f>
        <v>-200000</v>
      </c>
      <c r="M67" s="1">
        <f>SUM(M37:M66)</f>
        <v>-60000</v>
      </c>
      <c r="N67" s="1">
        <f>SUM(N37:N66)</f>
        <v>-803101.50000000035</v>
      </c>
      <c r="O67" s="1">
        <f>SUM(O37:O66)</f>
        <v>-1063101.5000000005</v>
      </c>
      <c r="P67" s="1"/>
      <c r="Q67" s="1"/>
    </row>
    <row r="68" spans="1:17" x14ac:dyDescent="0.3">
      <c r="L68" s="1"/>
      <c r="M68" s="1"/>
      <c r="N68" s="1"/>
      <c r="O68" s="1"/>
      <c r="P68" s="1"/>
      <c r="Q68" s="1"/>
    </row>
    <row r="69" spans="1:17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40"/>
      <c r="M69" s="40"/>
      <c r="N69" s="40"/>
      <c r="O69" s="40"/>
      <c r="P69" s="40"/>
      <c r="Q69" s="1"/>
    </row>
    <row r="70" spans="1:17" x14ac:dyDescent="0.3">
      <c r="A70" s="34"/>
      <c r="B70" s="35" t="s">
        <v>25</v>
      </c>
      <c r="C70" s="36"/>
      <c r="D70" s="36"/>
      <c r="E70" s="37">
        <f>XNPV($C$73,E37:E66,$A$37:$A$66)</f>
        <v>-855315.34775288147</v>
      </c>
      <c r="F70" s="38"/>
      <c r="G70" s="35" t="s">
        <v>25</v>
      </c>
      <c r="H70" s="39"/>
      <c r="I70" s="39"/>
      <c r="J70" s="37">
        <f>XNPV($C$73,J37:J66,$A$37:$A$66)</f>
        <v>-539259.03176113334</v>
      </c>
      <c r="K70" s="38"/>
      <c r="L70" s="35" t="s">
        <v>25</v>
      </c>
      <c r="M70" s="39"/>
      <c r="N70" s="39"/>
      <c r="O70" s="37">
        <f>XNPV($C$73,O37:O66,$A$37:$A$66)</f>
        <v>-827101.62128802983</v>
      </c>
      <c r="P70" s="34"/>
    </row>
    <row r="71" spans="1:17" x14ac:dyDescent="0.3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  <row r="72" spans="1:17" x14ac:dyDescent="0.3">
      <c r="B72" s="5" t="s">
        <v>12</v>
      </c>
      <c r="C72" s="4" t="s">
        <v>6</v>
      </c>
      <c r="D72" s="4" t="s">
        <v>11</v>
      </c>
      <c r="E72" s="4" t="s">
        <v>10</v>
      </c>
      <c r="F72" s="4"/>
      <c r="G72" s="4"/>
      <c r="H72" s="3" t="s">
        <v>9</v>
      </c>
    </row>
    <row r="73" spans="1:17" x14ac:dyDescent="0.3">
      <c r="B73" t="s">
        <v>13</v>
      </c>
      <c r="C73" s="8">
        <v>0.02</v>
      </c>
    </row>
    <row r="87" spans="2:15" ht="21" x14ac:dyDescent="0.4">
      <c r="B87" s="81" t="s">
        <v>123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3"/>
    </row>
    <row r="88" spans="2:15" ht="18" x14ac:dyDescent="0.35">
      <c r="B88" s="78" t="s">
        <v>57</v>
      </c>
      <c r="C88" s="79"/>
      <c r="D88" s="79"/>
      <c r="E88" s="80"/>
      <c r="F88" s="28"/>
      <c r="G88" s="50" t="s">
        <v>63</v>
      </c>
      <c r="H88" s="51"/>
      <c r="I88" s="51"/>
      <c r="J88" s="52"/>
      <c r="K88" s="28"/>
      <c r="L88" s="78" t="s">
        <v>10</v>
      </c>
      <c r="M88" s="79"/>
      <c r="N88" s="79"/>
      <c r="O88" s="80"/>
    </row>
    <row r="89" spans="2:15" x14ac:dyDescent="0.3">
      <c r="B89" s="19"/>
      <c r="E89" s="59"/>
      <c r="G89" s="19"/>
      <c r="J89" s="59"/>
      <c r="L89" s="19"/>
      <c r="O89" s="59"/>
    </row>
    <row r="90" spans="2:15" x14ac:dyDescent="0.3">
      <c r="B90" s="19"/>
      <c r="D90" s="1"/>
      <c r="E90" s="59"/>
      <c r="G90" s="19"/>
      <c r="H90" s="33"/>
      <c r="J90" s="59"/>
      <c r="L90" s="19"/>
      <c r="N90" s="1"/>
      <c r="O90" s="59"/>
    </row>
    <row r="91" spans="2:15" x14ac:dyDescent="0.3">
      <c r="B91" s="19" t="s">
        <v>43</v>
      </c>
      <c r="D91" s="1">
        <f>D19</f>
        <v>2663.875</v>
      </c>
      <c r="E91" s="59" t="s">
        <v>1</v>
      </c>
      <c r="G91" s="19" t="s">
        <v>41</v>
      </c>
      <c r="I91" s="1">
        <f>H19</f>
        <v>28.108300000000003</v>
      </c>
      <c r="J91" s="59" t="s">
        <v>42</v>
      </c>
      <c r="L91" s="19" t="s">
        <v>41</v>
      </c>
      <c r="N91" s="1">
        <f>N19</f>
        <v>8923.3499999999985</v>
      </c>
      <c r="O91" s="59" t="s">
        <v>0</v>
      </c>
    </row>
    <row r="92" spans="2:15" x14ac:dyDescent="0.3">
      <c r="B92" s="19" t="s">
        <v>127</v>
      </c>
      <c r="C92">
        <v>10.55</v>
      </c>
      <c r="D92" s="60">
        <f>D91*C92</f>
        <v>28103.881250000002</v>
      </c>
      <c r="E92" s="59" t="s">
        <v>0</v>
      </c>
      <c r="G92" s="19" t="s">
        <v>136</v>
      </c>
      <c r="H92">
        <v>3.6</v>
      </c>
      <c r="I92" s="33">
        <f>I91*H92</f>
        <v>101.18988000000002</v>
      </c>
      <c r="J92" s="59" t="s">
        <v>139</v>
      </c>
      <c r="L92" s="19"/>
      <c r="O92" s="59"/>
    </row>
    <row r="93" spans="2:15" x14ac:dyDescent="0.3">
      <c r="B93" s="19" t="s">
        <v>105</v>
      </c>
      <c r="D93">
        <f>'CO2'!$G$4</f>
        <v>215</v>
      </c>
      <c r="E93" s="59" t="s">
        <v>124</v>
      </c>
      <c r="G93" s="19" t="s">
        <v>137</v>
      </c>
      <c r="I93">
        <f>'CO2'!M8</f>
        <v>15</v>
      </c>
      <c r="J93" s="59" t="s">
        <v>138</v>
      </c>
      <c r="L93" s="19" t="s">
        <v>105</v>
      </c>
      <c r="N93">
        <f>'CO2'!R54</f>
        <v>139</v>
      </c>
      <c r="O93" s="59" t="s">
        <v>124</v>
      </c>
    </row>
    <row r="94" spans="2:15" x14ac:dyDescent="0.3">
      <c r="B94" s="23" t="s">
        <v>125</v>
      </c>
      <c r="C94" s="24"/>
      <c r="D94" s="61">
        <f>D92/1000*D93</f>
        <v>6042.3344687500003</v>
      </c>
      <c r="E94" s="26" t="s">
        <v>126</v>
      </c>
      <c r="G94" s="23" t="s">
        <v>125</v>
      </c>
      <c r="H94" s="24"/>
      <c r="I94" s="57">
        <f>I92*I93</f>
        <v>1517.8482000000004</v>
      </c>
      <c r="J94" s="26" t="s">
        <v>126</v>
      </c>
      <c r="L94" s="23" t="s">
        <v>125</v>
      </c>
      <c r="M94" s="24"/>
      <c r="N94" s="57">
        <f>N91/1000*N93</f>
        <v>1240.34565</v>
      </c>
      <c r="O94" s="26" t="s">
        <v>126</v>
      </c>
    </row>
    <row r="96" spans="2:15" x14ac:dyDescent="0.3">
      <c r="G96" s="55"/>
      <c r="H96" s="48"/>
      <c r="I96" s="48"/>
    </row>
  </sheetData>
  <mergeCells count="5">
    <mergeCell ref="B17:E17"/>
    <mergeCell ref="L17:O17"/>
    <mergeCell ref="B88:E88"/>
    <mergeCell ref="L88:O88"/>
    <mergeCell ref="B87:O87"/>
  </mergeCells>
  <conditionalFormatting sqref="G12:I12">
    <cfRule type="cellIs" dxfId="1" priority="1" operator="notEqual">
      <formula>1</formula>
    </cfRule>
    <cfRule type="cellIs" dxfId="0" priority="2" operator="equal">
      <formula>1</formula>
    </cfRule>
  </conditionalFormatting>
  <hyperlinks>
    <hyperlink ref="G10" r:id="rId1" display="Kilde Bolius" xr:uid="{3ADA9E19-2B28-4F58-B67D-0425E6CFEA34}"/>
    <hyperlink ref="B24" r:id="rId2" xr:uid="{4475C884-7CC4-4D3B-B0E9-919B0D75ADBF}"/>
    <hyperlink ref="J24" r:id="rId3" xr:uid="{5F3C07C8-6C12-4616-B2EE-552804402D7C}"/>
    <hyperlink ref="J25" r:id="rId4" xr:uid="{2D796D9B-4184-4A20-842E-7DD2D773BC42}"/>
    <hyperlink ref="L24" r:id="rId5" location="widget-1" xr:uid="{8E95AA10-82AC-45F4-B9BE-D5B14CE2B4E2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CCFF-04E9-4030-9E69-8D88D590C19A}">
  <dimension ref="A1:R54"/>
  <sheetViews>
    <sheetView topLeftCell="L1" workbookViewId="0">
      <pane ySplit="1" topLeftCell="A38" activePane="bottomLeft" state="frozen"/>
      <selection pane="bottomLeft" activeCell="R54" sqref="R54"/>
    </sheetView>
  </sheetViews>
  <sheetFormatPr defaultRowHeight="14.4" x14ac:dyDescent="0.3"/>
  <cols>
    <col min="1" max="1" width="92.109375" bestFit="1" customWidth="1"/>
    <col min="3" max="3" width="21.6640625" customWidth="1"/>
    <col min="4" max="4" width="10.6640625" bestFit="1" customWidth="1"/>
    <col min="5" max="5" width="55.109375" customWidth="1"/>
    <col min="12" max="12" width="87.6640625" customWidth="1"/>
  </cols>
  <sheetData>
    <row r="1" spans="1:16" x14ac:dyDescent="0.3">
      <c r="A1" t="s">
        <v>64</v>
      </c>
      <c r="D1" s="7">
        <v>40344</v>
      </c>
      <c r="E1" t="s">
        <v>102</v>
      </c>
      <c r="L1" t="s">
        <v>64</v>
      </c>
      <c r="P1" t="s">
        <v>140</v>
      </c>
    </row>
    <row r="3" spans="1:16" ht="129.6" x14ac:dyDescent="0.3">
      <c r="B3" s="41">
        <v>2021</v>
      </c>
      <c r="C3" s="41"/>
      <c r="E3" s="48" t="s">
        <v>103</v>
      </c>
      <c r="F3" s="48" t="s">
        <v>104</v>
      </c>
      <c r="G3" s="48" t="s">
        <v>105</v>
      </c>
      <c r="H3" s="48" t="s">
        <v>106</v>
      </c>
      <c r="L3" s="54" t="s">
        <v>130</v>
      </c>
    </row>
    <row r="4" spans="1:16" ht="15.6" x14ac:dyDescent="0.3">
      <c r="A4" s="42" t="s">
        <v>65</v>
      </c>
      <c r="E4" s="48" t="s">
        <v>107</v>
      </c>
      <c r="F4" s="48">
        <v>1.0529999999999999</v>
      </c>
      <c r="G4" s="48">
        <v>215</v>
      </c>
      <c r="H4" s="49">
        <v>3896</v>
      </c>
    </row>
    <row r="5" spans="1:16" x14ac:dyDescent="0.3">
      <c r="A5" s="43" t="s">
        <v>66</v>
      </c>
      <c r="B5" s="44">
        <v>729</v>
      </c>
      <c r="C5" s="44" t="s">
        <v>67</v>
      </c>
      <c r="E5" s="48" t="s">
        <v>108</v>
      </c>
      <c r="F5" s="48">
        <v>1.1759999999999999</v>
      </c>
      <c r="G5" s="48">
        <v>313</v>
      </c>
      <c r="H5" s="49">
        <v>5673</v>
      </c>
      <c r="L5" s="55"/>
      <c r="M5" s="56">
        <v>2021</v>
      </c>
      <c r="N5" s="48"/>
    </row>
    <row r="6" spans="1:16" x14ac:dyDescent="0.3">
      <c r="A6" s="43" t="s">
        <v>68</v>
      </c>
      <c r="B6" s="45">
        <v>125</v>
      </c>
      <c r="C6" s="44" t="s">
        <v>69</v>
      </c>
      <c r="E6" s="48" t="s">
        <v>109</v>
      </c>
      <c r="F6" s="48">
        <v>1.429</v>
      </c>
      <c r="G6" s="48">
        <v>0</v>
      </c>
      <c r="H6" s="48">
        <v>0</v>
      </c>
      <c r="L6" s="55" t="s">
        <v>131</v>
      </c>
      <c r="M6" s="48">
        <v>5.0999999999999996</v>
      </c>
      <c r="N6" s="48" t="s">
        <v>95</v>
      </c>
    </row>
    <row r="7" spans="1:16" ht="28.8" x14ac:dyDescent="0.3">
      <c r="A7" s="43" t="s">
        <v>70</v>
      </c>
      <c r="B7" s="44">
        <v>334</v>
      </c>
      <c r="C7" s="44" t="s">
        <v>71</v>
      </c>
      <c r="E7" s="48" t="s">
        <v>110</v>
      </c>
      <c r="F7" s="48">
        <v>1</v>
      </c>
      <c r="G7" s="48">
        <v>862</v>
      </c>
      <c r="H7" s="49">
        <v>15602</v>
      </c>
      <c r="L7" s="55" t="s">
        <v>132</v>
      </c>
      <c r="M7" s="48">
        <v>207</v>
      </c>
      <c r="N7" s="48" t="s">
        <v>97</v>
      </c>
    </row>
    <row r="8" spans="1:16" x14ac:dyDescent="0.3">
      <c r="A8" s="43" t="s">
        <v>72</v>
      </c>
      <c r="B8" s="44">
        <v>597</v>
      </c>
      <c r="C8" s="44" t="s">
        <v>67</v>
      </c>
      <c r="E8" s="48" t="s">
        <v>111</v>
      </c>
      <c r="F8" s="48">
        <v>0.35699999999999998</v>
      </c>
      <c r="G8" s="48">
        <v>308</v>
      </c>
      <c r="H8" s="49">
        <v>5572</v>
      </c>
      <c r="L8" s="55" t="s">
        <v>133</v>
      </c>
      <c r="M8" s="48">
        <v>15</v>
      </c>
      <c r="N8" s="48" t="s">
        <v>99</v>
      </c>
    </row>
    <row r="9" spans="1:16" ht="28.8" x14ac:dyDescent="0.3">
      <c r="A9" s="43" t="s">
        <v>73</v>
      </c>
      <c r="B9" s="44">
        <v>102</v>
      </c>
      <c r="C9" s="44" t="s">
        <v>69</v>
      </c>
      <c r="E9" s="48" t="s">
        <v>112</v>
      </c>
      <c r="F9" s="48">
        <v>1.0529999999999999</v>
      </c>
      <c r="G9" s="48">
        <v>215</v>
      </c>
      <c r="H9" s="49">
        <v>3896</v>
      </c>
      <c r="L9" s="55" t="s">
        <v>134</v>
      </c>
      <c r="M9" s="48">
        <v>140</v>
      </c>
      <c r="N9" s="48" t="s">
        <v>97</v>
      </c>
    </row>
    <row r="10" spans="1:16" x14ac:dyDescent="0.3">
      <c r="A10" s="43" t="s">
        <v>74</v>
      </c>
      <c r="B10" s="44">
        <v>274</v>
      </c>
      <c r="C10" s="44" t="s">
        <v>75</v>
      </c>
      <c r="E10" s="48" t="s">
        <v>113</v>
      </c>
      <c r="F10" s="48">
        <v>1.2050000000000001</v>
      </c>
      <c r="G10" s="48">
        <v>321</v>
      </c>
      <c r="H10" s="49">
        <v>5809</v>
      </c>
      <c r="L10" s="55" t="s">
        <v>135</v>
      </c>
      <c r="M10" s="48">
        <v>16</v>
      </c>
      <c r="N10" s="48" t="s">
        <v>99</v>
      </c>
    </row>
    <row r="11" spans="1:16" x14ac:dyDescent="0.3">
      <c r="A11" s="43" t="s">
        <v>76</v>
      </c>
      <c r="B11" s="46">
        <v>5.8</v>
      </c>
      <c r="C11" s="44" t="s">
        <v>77</v>
      </c>
      <c r="E11" s="48" t="s">
        <v>114</v>
      </c>
      <c r="F11" s="48">
        <v>1.2050000000000001</v>
      </c>
      <c r="G11" s="48">
        <v>0</v>
      </c>
      <c r="H11" s="48">
        <v>0</v>
      </c>
    </row>
    <row r="12" spans="1:16" x14ac:dyDescent="0.3">
      <c r="A12" s="43" t="s">
        <v>78</v>
      </c>
      <c r="B12" s="45">
        <v>2180</v>
      </c>
      <c r="C12" s="44" t="s">
        <v>79</v>
      </c>
      <c r="E12" s="48" t="s">
        <v>115</v>
      </c>
      <c r="F12" s="48">
        <v>1.1759999999999999</v>
      </c>
      <c r="G12" s="48">
        <v>0</v>
      </c>
      <c r="H12" s="48">
        <v>0</v>
      </c>
    </row>
    <row r="13" spans="1:16" x14ac:dyDescent="0.3">
      <c r="E13" s="48" t="s">
        <v>116</v>
      </c>
      <c r="F13" s="48">
        <v>1.111</v>
      </c>
      <c r="G13" s="48">
        <v>0</v>
      </c>
      <c r="H13" s="48">
        <v>0</v>
      </c>
    </row>
    <row r="14" spans="1:16" x14ac:dyDescent="0.3">
      <c r="E14" s="48" t="s">
        <v>117</v>
      </c>
      <c r="F14" s="48">
        <v>1.111</v>
      </c>
      <c r="G14" s="48">
        <v>0</v>
      </c>
      <c r="H14" s="48">
        <v>0</v>
      </c>
    </row>
    <row r="15" spans="1:16" ht="15.6" x14ac:dyDescent="0.3">
      <c r="A15" s="42" t="s">
        <v>80</v>
      </c>
      <c r="E15" s="48" t="s">
        <v>118</v>
      </c>
      <c r="F15" s="48">
        <v>2</v>
      </c>
      <c r="G15" s="48">
        <v>-246</v>
      </c>
      <c r="H15" s="49">
        <v>-4455</v>
      </c>
    </row>
    <row r="16" spans="1:16" x14ac:dyDescent="0.3">
      <c r="A16" s="43" t="s">
        <v>81</v>
      </c>
      <c r="B16" s="44">
        <v>55</v>
      </c>
      <c r="C16" s="44" t="s">
        <v>82</v>
      </c>
      <c r="E16" s="48" t="s">
        <v>119</v>
      </c>
      <c r="F16" s="48">
        <v>1.754</v>
      </c>
      <c r="G16" s="48">
        <v>-359</v>
      </c>
      <c r="H16" s="49">
        <v>-6501</v>
      </c>
    </row>
    <row r="17" spans="1:8" x14ac:dyDescent="0.3">
      <c r="A17" s="43" t="s">
        <v>83</v>
      </c>
      <c r="B17" s="44">
        <v>57</v>
      </c>
      <c r="C17" s="44" t="s">
        <v>82</v>
      </c>
      <c r="E17" s="48" t="s">
        <v>120</v>
      </c>
      <c r="F17" s="48">
        <v>1.8180000000000001</v>
      </c>
      <c r="G17" s="48">
        <v>-366</v>
      </c>
      <c r="H17" s="49">
        <v>-6628</v>
      </c>
    </row>
    <row r="18" spans="1:8" x14ac:dyDescent="0.3">
      <c r="A18" s="43" t="s">
        <v>84</v>
      </c>
      <c r="B18" s="44">
        <v>34</v>
      </c>
      <c r="C18" s="44" t="s">
        <v>82</v>
      </c>
      <c r="E18" s="48" t="s">
        <v>121</v>
      </c>
      <c r="F18" s="48">
        <v>1.4710000000000001</v>
      </c>
      <c r="G18" s="48">
        <v>-262</v>
      </c>
      <c r="H18" s="49">
        <v>-4740</v>
      </c>
    </row>
    <row r="19" spans="1:8" x14ac:dyDescent="0.3">
      <c r="E19" s="48" t="s">
        <v>122</v>
      </c>
      <c r="F19" s="48">
        <v>0.33300000000000002</v>
      </c>
      <c r="G19" s="48">
        <v>114</v>
      </c>
      <c r="H19" s="49">
        <v>2063</v>
      </c>
    </row>
    <row r="21" spans="1:8" ht="15.6" x14ac:dyDescent="0.3">
      <c r="A21" s="42" t="s">
        <v>85</v>
      </c>
    </row>
    <row r="22" spans="1:8" x14ac:dyDescent="0.3">
      <c r="A22" s="43" t="s">
        <v>86</v>
      </c>
      <c r="B22" s="45">
        <v>72</v>
      </c>
      <c r="C22" s="44" t="s">
        <v>82</v>
      </c>
    </row>
    <row r="25" spans="1:8" ht="15.6" x14ac:dyDescent="0.3">
      <c r="A25" s="42" t="s">
        <v>87</v>
      </c>
    </row>
    <row r="26" spans="1:8" x14ac:dyDescent="0.3">
      <c r="A26" s="43" t="s">
        <v>88</v>
      </c>
      <c r="B26" s="47">
        <v>16231</v>
      </c>
      <c r="C26" s="44" t="s">
        <v>89</v>
      </c>
    </row>
    <row r="27" spans="1:8" x14ac:dyDescent="0.3">
      <c r="A27" s="43" t="s">
        <v>90</v>
      </c>
      <c r="B27" s="45">
        <v>43</v>
      </c>
      <c r="C27" s="44" t="s">
        <v>82</v>
      </c>
    </row>
    <row r="28" spans="1:8" x14ac:dyDescent="0.3">
      <c r="A28" s="43" t="s">
        <v>91</v>
      </c>
      <c r="B28" s="45">
        <v>72</v>
      </c>
      <c r="C28" s="44" t="s">
        <v>82</v>
      </c>
    </row>
    <row r="29" spans="1:8" x14ac:dyDescent="0.3">
      <c r="A29" s="43" t="s">
        <v>92</v>
      </c>
      <c r="B29" s="45">
        <v>66</v>
      </c>
      <c r="C29" s="44" t="s">
        <v>82</v>
      </c>
    </row>
    <row r="32" spans="1:8" ht="15.6" x14ac:dyDescent="0.3">
      <c r="A32" s="42" t="s">
        <v>93</v>
      </c>
    </row>
    <row r="33" spans="1:3" x14ac:dyDescent="0.3">
      <c r="A33" s="43" t="s">
        <v>94</v>
      </c>
      <c r="B33" s="44">
        <v>5.0999999999999996</v>
      </c>
      <c r="C33" s="44" t="s">
        <v>95</v>
      </c>
    </row>
    <row r="34" spans="1:3" x14ac:dyDescent="0.3">
      <c r="A34" s="43" t="s">
        <v>96</v>
      </c>
      <c r="B34" s="44">
        <v>207</v>
      </c>
      <c r="C34" s="44" t="s">
        <v>97</v>
      </c>
    </row>
    <row r="35" spans="1:3" x14ac:dyDescent="0.3">
      <c r="A35" s="43" t="s">
        <v>98</v>
      </c>
      <c r="B35" s="44">
        <v>15</v>
      </c>
      <c r="C35" s="44" t="s">
        <v>99</v>
      </c>
    </row>
    <row r="36" spans="1:3" x14ac:dyDescent="0.3">
      <c r="A36" s="43" t="s">
        <v>100</v>
      </c>
      <c r="B36" s="44">
        <v>140</v>
      </c>
      <c r="C36" s="44" t="s">
        <v>97</v>
      </c>
    </row>
    <row r="37" spans="1:3" x14ac:dyDescent="0.3">
      <c r="A37" s="43" t="s">
        <v>101</v>
      </c>
      <c r="B37" s="44">
        <v>16</v>
      </c>
      <c r="C37" s="44" t="s">
        <v>99</v>
      </c>
    </row>
    <row r="53" spans="16:18" x14ac:dyDescent="0.3">
      <c r="P53" t="s">
        <v>141</v>
      </c>
      <c r="R53">
        <v>139</v>
      </c>
    </row>
    <row r="54" spans="16:18" x14ac:dyDescent="0.3">
      <c r="P54" t="s">
        <v>142</v>
      </c>
      <c r="R54">
        <v>139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Benchmark</vt:lpstr>
      <vt:lpstr>CO2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Pape</dc:creator>
  <cp:lastModifiedBy>Claus Pape</cp:lastModifiedBy>
  <dcterms:created xsi:type="dcterms:W3CDTF">2023-03-18T09:01:27Z</dcterms:created>
  <dcterms:modified xsi:type="dcterms:W3CDTF">2023-03-20T11:53:36Z</dcterms:modified>
</cp:coreProperties>
</file>